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'Лист1'!$A$1:$F$377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<sst xmlns="http://schemas.openxmlformats.org/spreadsheetml/2006/main" count="1576" uniqueCount="569">
  <si>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</si>
  <si>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</si>
  <si>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</si>
  <si>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</si>
  <si>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</si>
  <si>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</si>
  <si>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</si>
  <si>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</si>
  <si>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</si>
  <si>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</si>
  <si>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</si>
  <si>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</si>
  <si>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</si>
  <si>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</si>
  <si>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</si>
  <si>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</si>
  <si>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</si>
  <si>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</si>
  <si>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</si>
  <si>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</si>
  <si>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</si>
  <si>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</si>
  <si>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</si>
  <si>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</si>
  <si>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</si>
  <si>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</si>
  <si>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</si>
  <si>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</si>
  <si>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</si>
  <si>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</si>
  <si>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</si>
  <si>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</si>
  <si>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</si>
  <si>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</si>
  <si>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</si>
  <si>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</si>
  <si>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</si>
  <si>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</si>
  <si>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</si>
  <si>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</si>
  <si>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</si>
  <si>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</si>
  <si>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</si>
  <si>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</si>
  <si>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</si>
  <si>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</si>
  <si>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</si>
  <si>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</si>
  <si>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</si>
  <si>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</si>
  <si>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</si>
  <si>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</si>
  <si>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</si>
  <si>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</si>
  <si>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</si>
  <si>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</si>
  <si>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</si>
  <si>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</si>
  <si>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</si>
  <si>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</si>
  <si>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</si>
  <si>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</si>
  <si>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</si>
  <si>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</si>
  <si>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</si>
  <si>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</si>
  <si>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</si>
  <si>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</si>
  <si>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</si>
  <si>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</si>
  <si>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</si>
  <si>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</si>
  <si>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</si>
  <si>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</si>
  <si>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</si>
  <si>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</si>
  <si>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</si>
  <si>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</si>
  <si>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</si>
  <si>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</si>
  <si>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</si>
  <si>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</si>
  <si>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</si>
  <si>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</si>
  <si>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</si>
  <si>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</si>
  <si>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</si>
  <si>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</si>
  <si>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</si>
  <si>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</si>
  <si>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</si>
  <si>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</si>
  <si>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</si>
  <si>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</si>
  <si>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</si>
  <si>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</si>
  <si>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</si>
  <si>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</si>
  <si>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Ямочный ремонт дорог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</si>
  <si>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</si>
  <si>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</si>
  <si>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</si>
  <si>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</si>
  <si>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</si>
  <si>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</si>
  <si>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</si>
  <si>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</si>
  <si>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</si>
  <si>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</si>
  <si>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</si>
  <si>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</si>
  <si>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</si>
  <si>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</si>
  <si>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</si>
  <si>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</si>
  <si>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</si>
  <si>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</si>
  <si>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</si>
  <si>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</si>
  <si>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</si>
  <si>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</si>
  <si>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</si>
  <si>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</si>
  <si>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</si>
  <si>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</si>
  <si>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</si>
  <si>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</si>
  <si>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</si>
  <si>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</si>
  <si>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</si>
  <si>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</si>
  <si>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</si>
  <si>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</si>
  <si>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</si>
  <si>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</si>
  <si>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</si>
  <si>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</si>
  <si>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</si>
  <si>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</si>
  <si>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</si>
  <si>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</si>
  <si>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</si>
  <si>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</si>
  <si>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</si>
  <si>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</si>
  <si>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</si>
  <si>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</si>
  <si>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</si>
  <si>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</si>
  <si>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</si>
  <si>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</si>
  <si>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</si>
  <si>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</si>
  <si>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</si>
  <si>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</si>
  <si>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</si>
  <si>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</si>
  <si>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</si>
  <si>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</si>
  <si>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</si>
  <si>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</si>
  <si>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</si>
  <si>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</si>
  <si>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</si>
  <si>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</si>
  <si>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</si>
  <si>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</si>
  <si>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</si>
  <si>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</si>
  <si>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</si>
  <si>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</si>
  <si>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</si>
  <si>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</si>
  <si>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</si>
  <si>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</si>
  <si>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</si>
  <si>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</si>
  <si>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</si>
  <si>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</si>
  <si>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</si>
  <si>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</si>
  <si>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</si>
  <si>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</si>
  <si>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</si>
  <si>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</si>
  <si>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</si>
  <si>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</si>
  <si>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</si>
  <si>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</si>
  <si>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</si>
  <si>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</si>
  <si>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</si>
  <si>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</si>
  <si>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</si>
  <si>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</si>
  <si>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</si>
  <si>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</si>
  <si>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</si>
  <si>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</si>
  <si>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</si>
  <si>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</si>
  <si>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</si>
  <si>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</si>
  <si>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</si>
  <si>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</si>
  <si>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</si>
  <si>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</si>
  <si>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</si>
  <si>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</si>
  <si>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</si>
  <si>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</si>
  <si>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</si>
  <si>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</si>
  <si>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</si>
  <si>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</si>
  <si>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</si>
  <si>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</si>
  <si>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</si>
  <si>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</si>
  <si>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</si>
  <si>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</si>
  <si>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</si>
  <si>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</si>
  <si>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</si>
  <si>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</si>
  <si>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</si>
  <si>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</si>
  <si>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</si>
  <si>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</si>
  <si>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</si>
  <si>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</si>
  <si>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</si>
  <si>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</si>
  <si>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</si>
  <si>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</si>
  <si>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</si>
  <si>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</si>
  <si>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</si>
  <si>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</si>
  <si>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</si>
  <si>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</si>
  <si>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55 0 89 00000</t>
  </si>
  <si>
    <t>55 0 89 20400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</si>
  <si>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</si>
  <si>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</si>
  <si>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</si>
  <si>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</si>
  <si>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</si>
  <si>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</si>
  <si>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</si>
  <si>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</si>
  <si>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</si>
  <si>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</si>
  <si>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</si>
  <si>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</si>
  <si>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</si>
  <si>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</si>
  <si>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</si>
  <si>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</si>
  <si>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</si>
  <si>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</si>
  <si>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</si>
  <si>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</si>
  <si>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</si>
  <si>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</si>
  <si>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</si>
  <si>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</si>
  <si>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</si>
  <si>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</si>
  <si>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</si>
  <si>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</si>
  <si>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</si>
  <si>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</si>
  <si>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</si>
  <si>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</si>
  <si>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</si>
  <si>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</si>
  <si>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</si>
  <si>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</si>
  <si>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</si>
  <si>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</si>
  <si>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</si>
  <si>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</si>
  <si>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</si>
  <si>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</si>
  <si>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</si>
  <si>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</si>
  <si>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</si>
  <si>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</si>
  <si>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</si>
  <si>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</si>
  <si>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</si>
  <si>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</si>
  <si>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</si>
  <si>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</si>
  <si>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</si>
  <si>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</si>
  <si>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</si>
  <si>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</si>
  <si>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</si>
  <si>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</si>
  <si>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</si>
  <si>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</si>
  <si>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</si>
  <si>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</si>
  <si>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</si>
  <si>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</si>
  <si>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</si>
  <si>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</si>
  <si>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</si>
  <si>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</si>
  <si>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</si>
  <si>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</si>
  <si>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</si>
  <si>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</si>
  <si>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</si>
  <si>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</si>
  <si>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</si>
  <si>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</si>
  <si>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</si>
  <si>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</si>
  <si>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</si>
  <si>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</si>
  <si>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</si>
  <si>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</si>
  <si>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</si>
  <si>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</si>
  <si>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</si>
  <si>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</si>
  <si>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</si>
  <si>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</si>
  <si>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</si>
  <si>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</si>
  <si>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</si>
  <si>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</si>
  <si>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</si>
  <si>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</si>
  <si>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</si>
  <si>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</si>
  <si>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</si>
  <si>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</si>
  <si>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</si>
  <si>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</si>
  <si>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</si>
  <si>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</si>
  <si>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</si>
  <si>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</si>
  <si>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</si>
  <si>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</si>
  <si>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</si>
  <si>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</si>
  <si>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</si>
  <si>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</si>
  <si>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</si>
  <si>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</si>
  <si>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</si>
  <si>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</si>
  <si>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</si>
  <si>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</si>
  <si>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</si>
  <si>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</si>
  <si>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</si>
  <si>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</si>
  <si>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</si>
  <si>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</si>
  <si>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</si>
  <si>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</si>
  <si>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</si>
  <si>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</si>
  <si>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</si>
  <si>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</si>
  <si>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</si>
  <si>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</si>
  <si>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</si>
  <si>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Муниципальная программа "Развитие туризма в муниципальном образовании Чебаркульский городской округ "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</si>
  <si>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</si>
  <si>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</si>
  <si>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</si>
  <si>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</si>
  <si>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43 0 20  71001</t>
  </si>
  <si>
    <t>43 0 20  71006</t>
  </si>
  <si>
    <t>43 0 20 S1001</t>
  </si>
  <si>
    <t>43 0 20 S1006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</si>
  <si>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(Предоставление субсидий бюджетным, автономным учреждениям и иным некоммерческим организациям)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</si>
  <si>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</si>
  <si>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(Предоставление субсидий бюджетным, автономным учреждениям и иным некоммерческим организациям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</si>
  <si>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</si>
  <si>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2018 год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</si>
  <si>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</si>
  <si>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</si>
  <si>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</si>
  <si>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44 0 07 79513</t>
  </si>
  <si>
    <t>44 0 09 00000</t>
  </si>
  <si>
    <t>44 0 07 79517</t>
  </si>
  <si>
    <t>44 0 09 79518</t>
  </si>
  <si>
    <t>Разработка комплексной программы развития систем коммунальной инфраструктуры  (Закупка товаров, работ и услуг для государственных (муниципальных) нужд)</t>
  </si>
  <si>
    <t>Муниципальная программа "Профилактика правонарушений на территории Чебаркульского городского округа "</t>
  </si>
  <si>
    <t>46 0 20 0AA00</t>
  </si>
  <si>
    <t xml:space="preserve">46 0 20 SAA00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</si>
  <si>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</si>
  <si>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</si>
  <si>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</si>
  <si>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</si>
  <si>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</si>
  <si>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</si>
  <si>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Организация и 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</si>
  <si>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области" </t>
  </si>
  <si>
    <t>Финансовая поддержка малого и среднего предпринимательства  (Иные бюджетные ассигнования)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</si>
  <si>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</si>
  <si>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</si>
  <si>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</si>
  <si>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</si>
  <si>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</si>
  <si>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</si>
  <si>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</si>
  <si>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</si>
  <si>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</si>
  <si>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</si>
  <si>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</si>
  <si>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</si>
  <si>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</si>
  <si>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</si>
  <si>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</si>
  <si>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</si>
  <si>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</si>
  <si>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</si>
  <si>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</si>
  <si>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</si>
  <si>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</si>
  <si>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</si>
  <si>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</si>
  <si>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</si>
  <si>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</si>
  <si>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</si>
  <si>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</si>
  <si>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</si>
  <si>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</si>
  <si>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60 0 11 00160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</si>
  <si>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</si>
  <si>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</si>
  <si>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</si>
  <si>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</si>
  <si>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</si>
  <si>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</si>
  <si>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</si>
  <si>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>Субсидия на комплектование книжных фондов библиотек муниципальных образований Челябинской области  (Закупка товаров, работ и услуг для государственных (муниципальных) нужд)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</si>
  <si>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</si>
  <si>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</si>
  <si>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66 0 56 S1003</t>
  </si>
  <si>
    <t>68 0 00 00000</t>
  </si>
  <si>
    <t>Муниципальная программа "Доступная среда"</t>
  </si>
  <si>
    <t>68 0 07 79050</t>
  </si>
  <si>
    <t>68 0 07 00000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</si>
  <si>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</si>
  <si>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</si>
  <si>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</si>
  <si>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</si>
  <si>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</si>
  <si>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</si>
  <si>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99 0 04 25800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</si>
  <si>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</si>
  <si>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</si>
  <si>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52 0 16 22400</t>
  </si>
  <si>
    <t>52 0 16 22500</t>
  </si>
  <si>
    <t>52 0 16 22700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</si>
  <si>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</si>
  <si>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</si>
  <si>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</si>
  <si>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</si>
  <si>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Обеспечение доступности зданий и сооружений в сферах жизнедеятельности инвалидов и других маломобильных групп населения  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</si>
  <si>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</si>
  <si>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</si>
  <si>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(Социальное обеспечение и иные выплаты населению)</t>
  </si>
  <si>
    <t>52 0 16 R0840</t>
  </si>
  <si>
    <t>44 0 09 00040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</si>
  <si>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</si>
  <si>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44 0 09 00050</t>
  </si>
  <si>
    <t>44 0 09 S0040</t>
  </si>
  <si>
    <t>44 0 09 S0050</t>
  </si>
  <si>
    <t>44 0 09 79619</t>
  </si>
  <si>
    <t>Мероприятия по электроснабжению 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</si>
  <si>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</si>
  <si>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</si>
  <si>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</si>
  <si>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67 0 07 00000</t>
  </si>
  <si>
    <t>67 0 07 L5550</t>
  </si>
  <si>
    <t>44 0 07 79619</t>
  </si>
  <si>
    <t>Мероприятия по электроснабжению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</si>
  <si>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</si>
  <si>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60 0 11 78009</t>
  </si>
  <si>
    <t>46 0 20 79523</t>
  </si>
  <si>
    <t>46 0 20 79524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</si>
  <si>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</si>
  <si>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</si>
  <si>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65 0 20 00000</t>
  </si>
  <si>
    <t>65 0 20 80001</t>
  </si>
  <si>
    <t>43 0 20 78800</t>
  </si>
  <si>
    <t>43 0 20 78900</t>
  </si>
  <si>
    <t>Содержание и ремонт объектов спорта  (Предоставление субсидий бюджетным, автономным учреждениям и иным некоммерческим организациям)</t>
  </si>
  <si>
    <t>43 0 20 S1007</t>
  </si>
  <si>
    <t>Предоставление субсидии для финансовой поддержки организаций спортивной подготовки по базовым видам спорта  (Предоставление субсидий бюджетным, автономным учреждениям и иным некоммерческим организациям)</t>
  </si>
  <si>
    <t>44 0 07 79515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</si>
  <si>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</si>
  <si>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44 0 07 79518</t>
  </si>
  <si>
    <t>Мероприятия по газификации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</si>
  <si>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</si>
  <si>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</si>
  <si>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</si>
  <si>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47 0 06 09900</t>
  </si>
  <si>
    <t>47 0 06 S9900</t>
  </si>
  <si>
    <t>Разметка дорожного полотна (Закупка товаров, работ и услуг для государственных (муниципальных) нужд)</t>
  </si>
  <si>
    <t>43 0 20 71007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</si>
  <si>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</si>
  <si>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</si>
  <si>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</si>
  <si>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</si>
  <si>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</si>
  <si>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</si>
  <si>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60 0 11 S0160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</si>
  <si>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</si>
  <si>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</si>
  <si>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Мероприятия по водоснабжению и водоотведению  (Капитальные вложения в объекты недвижимого имущества государственной (муниципальной) собственности)</t>
  </si>
  <si>
    <t>46 0 07S4400</t>
  </si>
  <si>
    <t>Исполнение исполнительных листов (Капитальные вложения в объекты недвижимого имущества государственной (муниципальной) собственности)</t>
  </si>
  <si>
    <t>50 0 20 00000</t>
  </si>
  <si>
    <t>50 0 20 79508</t>
  </si>
  <si>
    <t>43 0 20 78300</t>
  </si>
  <si>
    <t>Ремонт и содержание плоскостных спортивных сооружений  (Предоставление субсидий бюджетным, автономным учреждениям и иным некоммерческим организациям)</t>
  </si>
  <si>
    <t>99 0 56 00000</t>
  </si>
  <si>
    <t>99 0 56 79700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</si>
  <si>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</si>
  <si>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Выполнение инструментального  обследования, инженерных изысканий,  разработка проектной и рабочей документации по объекту «Капитальный ремонт стадиона»  (Предоставление субсидий бюджетным, автономным учреждениям и иным некоммерческим организациям)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</si>
  <si>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</si>
  <si>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 (Закупка товаров, работ и услуг для государственных (муниципальных) нужд)</t>
  </si>
  <si>
    <t>Прочие мероприятия по благоустройству городского округа (Социальное обеспечение и иные выплаты населению)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</si>
  <si>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</si>
  <si>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Реализация переданных государственных полномочий в области охраны труда   (Социальное обеспечение и иные выплаты населению)</t>
  </si>
  <si>
    <t>99 0 20 00000</t>
  </si>
  <si>
    <t>99 0 20 00092</t>
  </si>
  <si>
    <t>Исполнение исполнительных листов  (Предоставление субсидий бюджетным, автономным учреждениям и иным некоммерческим организациям)</t>
  </si>
  <si>
    <t>43 0 20 71019</t>
  </si>
  <si>
    <t>Организация и проведение официальных соревнований  (Предоставление субсидий бюджетным, автономным учреждениям и иным некоммерческим организациям)</t>
  </si>
  <si>
    <t>45 0 07 00000</t>
  </si>
  <si>
    <t>45 0 07 79542</t>
  </si>
  <si>
    <t>Обеспечение общественного правопорядка при проведении мероприятий с массовым пребыванием граждан  (Закупка товаров, работ и услуг для государственных (муниципальных) нужд)</t>
  </si>
  <si>
    <t>43 0 20 71008</t>
  </si>
  <si>
    <t>Мероприятия по водоснабжению и водоотведению (Закупка товаров, работ и услуг для государственных (муниципальных) нужд)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</si>
  <si>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  (Предоставление субсидий бюджетным, автономным учреждениям и иным некоммерческим организациям)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</si>
  <si>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 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</si>
  <si>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</si>
  <si>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46 0 10 71680</t>
  </si>
  <si>
    <t>Организация отдыха, оздоровление и временного трудоустройства несовершеннолетних в каникулярное время  (Закупка товаров, работ и услуг для государственных (муниципальных) нужд)</t>
  </si>
  <si>
    <t>47 0 10 71680</t>
  </si>
  <si>
    <t>56 1 15 L4970</t>
  </si>
  <si>
    <t>60 0 20 78010</t>
  </si>
  <si>
    <t>Мероприятия по формированию законопослушного поведения участников дорожного движения</t>
  </si>
  <si>
    <t>Мероприятия по формированию законопослушного поведения участников дорожного движения  (Предоставление субсидий бюджетным, автономным учреждениям и иным некоммерческим организациям)</t>
  </si>
  <si>
    <t>60 0 20 00000</t>
  </si>
  <si>
    <t>65 0 07 L519A</t>
  </si>
  <si>
    <t>65 0 99 71680</t>
  </si>
  <si>
    <t xml:space="preserve">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</si>
  <si>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2018 год</t>
  </si>
  <si>
    <t>43 0 20 78700</t>
  </si>
  <si>
    <t>Приобретение основных средств для функционирования учреждений  (Предоставление субсидий бюджетным, автономным учреждениям и иным некоммерческим организациям)</t>
  </si>
  <si>
    <t>65 0 20 80002</t>
  </si>
  <si>
    <t>57 0 55 00000</t>
  </si>
  <si>
    <t>Формирование уставных фондов муниципальных унитарных предприятий (Иные бюджетные ассигнования)</t>
  </si>
  <si>
    <t>57 0 55 90040</t>
  </si>
  <si>
    <t>Приложение 1
к решению Собрания депутатов
Чебаркульского городского округа
от 06.11.2018 г. № 611
Приложение 4
к решению Собрания депутатов
Чебаркульского городского округа
от 12.12.2017г. № 443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</si>
</sst>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4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/>
    <xf numFmtId="49" fontId="7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 applyBorder="1"/>
    <xf numFmtId="4" fontId="7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5" fillId="3" borderId="1" xfId="0" applyNumberFormat="1" applyFont="1" applyFill="1" applyBorder="1"/>
    <xf numFmtId="4" fontId="6" fillId="3" borderId="1" xfId="0" applyNumberFormat="1" applyFont="1" applyFill="1" applyBorder="1"/>
    <xf numFmtId="4" fontId="11" fillId="3" borderId="1" xfId="0" applyNumberFormat="1" applyFont="1" applyFill="1" applyBorder="1"/>
    <xf numFmtId="4" fontId="8" fillId="3" borderId="1" xfId="0" applyNumberFormat="1" applyFont="1" applyFill="1" applyBorder="1"/>
    <xf numFmtId="0" fontId="8" fillId="2" borderId="0" xfId="0" applyFont="1" applyFill="1"/>
    <xf numFmtId="49" fontId="12" fillId="3" borderId="1" xfId="0" applyNumberFormat="1" applyFont="1" applyFill="1" applyBorder="1"/>
    <xf numFmtId="49" fontId="13" fillId="3" borderId="1" xfId="0" applyNumberFormat="1" applyFont="1" applyFill="1" applyBorder="1"/>
    <xf numFmtId="49" fontId="8" fillId="3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textRotation="90" wrapText="1" readingOrder="2"/>
    </xf>
    <xf numFmtId="49" fontId="8" fillId="2" borderId="1" xfId="0" applyNumberFormat="1" applyFont="1" applyFill="1" applyBorder="1" applyAlignment="1">
      <alignment horizontal="center" textRotation="90" readingOrder="2"/>
    </xf>
    <xf numFmtId="49" fontId="8" fillId="2" borderId="1" xfId="0" applyNumberFormat="1" applyFont="1" applyFill="1" applyBorder="1" applyAlignment="1">
      <alignment horizontal="left" vertical="center" textRotation="90" wrapText="1" readingOrder="2"/>
    </xf>
    <xf numFmtId="0" fontId="13" fillId="3" borderId="1" xfId="20" applyNumberFormat="1" applyFont="1" applyFill="1" applyBorder="1" applyAlignment="1">
      <alignment horizontal="left" vertical="center" wrapText="1"/>
      <protection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0" fontId="8" fillId="3" borderId="1" xfId="20" applyNumberFormat="1" applyFont="1" applyFill="1" applyBorder="1" applyAlignment="1">
      <alignment horizontal="left" vertical="center" wrapText="1"/>
      <protection/>
    </xf>
    <xf numFmtId="49" fontId="13" fillId="3" borderId="1" xfId="20" applyNumberFormat="1" applyFont="1" applyFill="1" applyBorder="1" applyAlignment="1">
      <alignment horizontal="left" vertical="center" wrapText="1"/>
      <protection/>
    </xf>
    <xf numFmtId="49" fontId="8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8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wrapText="1"/>
    </xf>
    <xf numFmtId="4" fontId="0" fillId="0" borderId="0" xfId="0" applyNumberFormat="1"/>
    <xf numFmtId="0" fontId="8" fillId="2" borderId="2" xfId="0" applyFont="1" applyFill="1" applyBorder="1" applyAlignment="1">
      <alignment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7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67.125" style="19" customWidth="1"/>
    <col min="2" max="2" width="12.00390625" style="19" customWidth="1"/>
    <col min="3" max="3" width="6.125" style="19" customWidth="1"/>
    <col min="4" max="4" width="5.875" style="19" customWidth="1"/>
    <col min="5" max="5" width="7.25390625" style="19" customWidth="1"/>
    <col min="6" max="6" width="14.00390625" style="19" customWidth="1"/>
    <col min="7" max="7" width="17.25390625" style="0" customWidth="1"/>
    <col min="8" max="9" width="8.875" style="0" customWidth="1"/>
    <col min="10" max="10" width="12.00390625" style="0" customWidth="1"/>
    <col min="11" max="11" width="13.375" style="0" customWidth="1"/>
    <col min="12" max="12" width="14.25390625" style="0" customWidth="1"/>
    <col min="13" max="13" width="11.25390625" style="0" customWidth="1"/>
  </cols>
  <sheetData>
    <row r="1" spans="2:6" ht="113.25" customHeight="1">
      <c r="B1" s="41" t="s">
        <v>568</v>
      </c>
      <c r="C1" s="42"/>
      <c r="D1" s="42"/>
      <c r="E1" s="42"/>
      <c r="F1" s="42"/>
    </row>
    <row r="2" spans="1:6" ht="38.25" customHeight="1">
      <c r="A2" s="43" t="s">
        <v>561</v>
      </c>
      <c r="B2" s="43"/>
      <c r="C2" s="43"/>
      <c r="D2" s="43"/>
      <c r="E2" s="43"/>
      <c r="F2" s="43"/>
    </row>
    <row r="3" spans="1:6" ht="15" customHeight="1">
      <c r="A3" s="40" t="s">
        <v>44</v>
      </c>
      <c r="B3" s="40"/>
      <c r="C3" s="40"/>
      <c r="D3" s="40"/>
      <c r="E3" s="40"/>
      <c r="F3" s="40"/>
    </row>
    <row r="4" spans="1:6" ht="78" customHeight="1">
      <c r="A4" s="23" t="s">
        <v>26</v>
      </c>
      <c r="B4" s="24" t="s">
        <v>29</v>
      </c>
      <c r="C4" s="25" t="s">
        <v>27</v>
      </c>
      <c r="D4" s="25" t="s">
        <v>28</v>
      </c>
      <c r="E4" s="26" t="s">
        <v>53</v>
      </c>
      <c r="F4" s="23" t="s">
        <v>387</v>
      </c>
    </row>
    <row r="5" spans="1:6" s="1" customFormat="1" ht="12.75">
      <c r="A5" s="20" t="s">
        <v>30</v>
      </c>
      <c r="B5" s="20"/>
      <c r="C5" s="20"/>
      <c r="D5" s="20"/>
      <c r="E5" s="20"/>
      <c r="F5" s="16">
        <f>SUM(F9+F12+F16+F19+F65+F70+F110+F119+F123+F126+F131+F138+F163+F214+F222+F226+F245+F260+F263+F284+F316+F334+F242+F327)+F6+F49+F324</f>
        <v>1119130426.6399999</v>
      </c>
    </row>
    <row r="6" spans="1:6" s="1" customFormat="1" ht="25.5">
      <c r="A6" s="27" t="s">
        <v>364</v>
      </c>
      <c r="B6" s="21" t="s">
        <v>366</v>
      </c>
      <c r="C6" s="20"/>
      <c r="D6" s="20"/>
      <c r="E6" s="20"/>
      <c r="F6" s="17">
        <f>F7</f>
        <v>20000</v>
      </c>
    </row>
    <row r="7" spans="1:6" s="1" customFormat="1" ht="12.75">
      <c r="A7" s="28" t="s">
        <v>23</v>
      </c>
      <c r="B7" s="28" t="s">
        <v>367</v>
      </c>
      <c r="C7" s="28"/>
      <c r="D7" s="28"/>
      <c r="E7" s="28"/>
      <c r="F7" s="15">
        <f>F8</f>
        <v>20000</v>
      </c>
    </row>
    <row r="8" spans="1:6" s="1" customFormat="1" ht="25.5">
      <c r="A8" s="28" t="s">
        <v>365</v>
      </c>
      <c r="B8" s="28" t="s">
        <v>368</v>
      </c>
      <c r="C8" s="28" t="s">
        <v>32</v>
      </c>
      <c r="D8" s="28" t="s">
        <v>107</v>
      </c>
      <c r="E8" s="28" t="s">
        <v>48</v>
      </c>
      <c r="F8" s="15">
        <v>20000</v>
      </c>
    </row>
    <row r="9" spans="1:6" s="2" customFormat="1" ht="32.25" customHeight="1">
      <c r="A9" s="27" t="s">
        <v>369</v>
      </c>
      <c r="B9" s="21" t="s">
        <v>152</v>
      </c>
      <c r="C9" s="22"/>
      <c r="D9" s="22"/>
      <c r="E9" s="22"/>
      <c r="F9" s="17">
        <f>F10</f>
        <v>150000</v>
      </c>
    </row>
    <row r="10" spans="1:6" s="4" customFormat="1" ht="12.75">
      <c r="A10" s="28" t="s">
        <v>23</v>
      </c>
      <c r="B10" s="22" t="s">
        <v>153</v>
      </c>
      <c r="C10" s="22"/>
      <c r="D10" s="22"/>
      <c r="E10" s="22"/>
      <c r="F10" s="15">
        <f>SUM(F11)</f>
        <v>150000</v>
      </c>
    </row>
    <row r="11" spans="1:6" s="2" customFormat="1" ht="33.75" customHeight="1">
      <c r="A11" s="28" t="s">
        <v>370</v>
      </c>
      <c r="B11" s="22" t="s">
        <v>154</v>
      </c>
      <c r="C11" s="22" t="s">
        <v>32</v>
      </c>
      <c r="D11" s="22" t="s">
        <v>107</v>
      </c>
      <c r="E11" s="22" t="s">
        <v>48</v>
      </c>
      <c r="F11" s="15">
        <v>150000</v>
      </c>
    </row>
    <row r="12" spans="1:6" s="2" customFormat="1" ht="25.5">
      <c r="A12" s="30" t="s">
        <v>371</v>
      </c>
      <c r="B12" s="21" t="s">
        <v>122</v>
      </c>
      <c r="C12" s="22"/>
      <c r="D12" s="22"/>
      <c r="E12" s="22"/>
      <c r="F12" s="17">
        <f>SUM(F13)</f>
        <v>100000</v>
      </c>
    </row>
    <row r="13" spans="1:6" s="2" customFormat="1" ht="42.75" customHeight="1">
      <c r="A13" s="31" t="s">
        <v>131</v>
      </c>
      <c r="B13" s="22" t="s">
        <v>373</v>
      </c>
      <c r="C13" s="22"/>
      <c r="D13" s="22"/>
      <c r="E13" s="22"/>
      <c r="F13" s="15">
        <f>SUM(F15)</f>
        <v>100000</v>
      </c>
    </row>
    <row r="14" spans="1:6" s="2" customFormat="1" ht="18.75" customHeight="1">
      <c r="A14" s="31" t="s">
        <v>372</v>
      </c>
      <c r="B14" s="22" t="s">
        <v>155</v>
      </c>
      <c r="C14" s="22"/>
      <c r="D14" s="22"/>
      <c r="E14" s="22"/>
      <c r="F14" s="15">
        <f>F15</f>
        <v>100000</v>
      </c>
    </row>
    <row r="15" spans="1:6" s="2" customFormat="1" ht="33" customHeight="1">
      <c r="A15" s="31" t="s">
        <v>71</v>
      </c>
      <c r="B15" s="22" t="s">
        <v>157</v>
      </c>
      <c r="C15" s="22" t="s">
        <v>36</v>
      </c>
      <c r="D15" s="22" t="s">
        <v>36</v>
      </c>
      <c r="E15" s="22" t="s">
        <v>51</v>
      </c>
      <c r="F15" s="15">
        <v>100000</v>
      </c>
    </row>
    <row r="16" spans="1:6" s="2" customFormat="1" ht="24.75" customHeight="1">
      <c r="A16" s="32" t="s">
        <v>374</v>
      </c>
      <c r="B16" s="21" t="s">
        <v>150</v>
      </c>
      <c r="C16" s="22"/>
      <c r="D16" s="22"/>
      <c r="E16" s="22"/>
      <c r="F16" s="17">
        <f>F17</f>
        <v>138000</v>
      </c>
    </row>
    <row r="17" spans="1:6" s="2" customFormat="1" ht="12.75">
      <c r="A17" s="22" t="s">
        <v>23</v>
      </c>
      <c r="B17" s="22" t="s">
        <v>151</v>
      </c>
      <c r="C17" s="22"/>
      <c r="D17" s="22"/>
      <c r="E17" s="22"/>
      <c r="F17" s="15">
        <f>SUM(F18)</f>
        <v>138000</v>
      </c>
    </row>
    <row r="18" spans="1:6" s="2" customFormat="1" ht="26.25" customHeight="1">
      <c r="A18" s="33" t="s">
        <v>375</v>
      </c>
      <c r="B18" s="22" t="s">
        <v>158</v>
      </c>
      <c r="C18" s="22" t="s">
        <v>37</v>
      </c>
      <c r="D18" s="22" t="s">
        <v>31</v>
      </c>
      <c r="E18" s="22" t="s">
        <v>48</v>
      </c>
      <c r="F18" s="15">
        <v>138000</v>
      </c>
    </row>
    <row r="19" spans="1:6" s="2" customFormat="1" ht="33" customHeight="1">
      <c r="A19" s="30" t="s">
        <v>403</v>
      </c>
      <c r="B19" s="21" t="s">
        <v>111</v>
      </c>
      <c r="C19" s="22"/>
      <c r="D19" s="22"/>
      <c r="E19" s="22"/>
      <c r="F19" s="17">
        <f>SUM(F20+F23+F27+F31+F45)</f>
        <v>58183501.18</v>
      </c>
    </row>
    <row r="20" spans="1:6" s="2" customFormat="1" ht="14.45" customHeight="1">
      <c r="A20" s="28" t="s">
        <v>59</v>
      </c>
      <c r="B20" s="22" t="s">
        <v>166</v>
      </c>
      <c r="C20" s="22"/>
      <c r="D20" s="22"/>
      <c r="E20" s="22"/>
      <c r="F20" s="15">
        <f>SUM(F21:F22)</f>
        <v>1165065.18</v>
      </c>
    </row>
    <row r="21" spans="1:6" s="3" customFormat="1" ht="72.75" customHeight="1">
      <c r="A21" s="29" t="s">
        <v>64</v>
      </c>
      <c r="B21" s="22" t="s">
        <v>167</v>
      </c>
      <c r="C21" s="22" t="s">
        <v>42</v>
      </c>
      <c r="D21" s="22" t="s">
        <v>39</v>
      </c>
      <c r="E21" s="22" t="s">
        <v>47</v>
      </c>
      <c r="F21" s="15">
        <v>1153065.18</v>
      </c>
    </row>
    <row r="22" spans="1:6" s="2" customFormat="1" ht="39" customHeight="1">
      <c r="A22" s="28" t="s">
        <v>65</v>
      </c>
      <c r="B22" s="22" t="s">
        <v>167</v>
      </c>
      <c r="C22" s="22" t="s">
        <v>42</v>
      </c>
      <c r="D22" s="22" t="s">
        <v>39</v>
      </c>
      <c r="E22" s="22" t="s">
        <v>48</v>
      </c>
      <c r="F22" s="15">
        <v>12000</v>
      </c>
    </row>
    <row r="23" spans="1:6" s="2" customFormat="1" ht="12.75">
      <c r="A23" s="34" t="s">
        <v>23</v>
      </c>
      <c r="B23" s="22" t="s">
        <v>160</v>
      </c>
      <c r="C23" s="22"/>
      <c r="D23" s="22"/>
      <c r="E23" s="22"/>
      <c r="F23" s="15">
        <f>SUM(F24:F26)</f>
        <v>790344</v>
      </c>
    </row>
    <row r="24" spans="1:14" s="2" customFormat="1" ht="51">
      <c r="A24" s="28" t="s">
        <v>305</v>
      </c>
      <c r="B24" s="22" t="s">
        <v>161</v>
      </c>
      <c r="C24" s="22" t="s">
        <v>42</v>
      </c>
      <c r="D24" s="22" t="s">
        <v>33</v>
      </c>
      <c r="E24" s="22" t="s">
        <v>47</v>
      </c>
      <c r="F24" s="15">
        <v>211000</v>
      </c>
      <c r="G24" s="6"/>
      <c r="H24" s="6"/>
      <c r="I24" s="6"/>
      <c r="J24" s="6"/>
      <c r="K24" s="14"/>
      <c r="L24" s="8"/>
      <c r="M24" s="9"/>
      <c r="N24" s="11"/>
    </row>
    <row r="25" spans="1:14" s="2" customFormat="1" ht="25.5">
      <c r="A25" s="28" t="s">
        <v>139</v>
      </c>
      <c r="B25" s="22" t="s">
        <v>161</v>
      </c>
      <c r="C25" s="22" t="s">
        <v>42</v>
      </c>
      <c r="D25" s="22" t="s">
        <v>33</v>
      </c>
      <c r="E25" s="22" t="s">
        <v>48</v>
      </c>
      <c r="F25" s="15">
        <v>460641</v>
      </c>
      <c r="G25" s="6"/>
      <c r="H25" s="6"/>
      <c r="I25" s="6"/>
      <c r="J25" s="6"/>
      <c r="K25" s="14"/>
      <c r="L25" s="8"/>
      <c r="M25" s="9"/>
      <c r="N25" s="11"/>
    </row>
    <row r="26" spans="1:14" s="2" customFormat="1" ht="25.5" customHeight="1">
      <c r="A26" s="31" t="s">
        <v>8</v>
      </c>
      <c r="B26" s="22" t="s">
        <v>162</v>
      </c>
      <c r="C26" s="22" t="s">
        <v>42</v>
      </c>
      <c r="D26" s="22" t="s">
        <v>33</v>
      </c>
      <c r="E26" s="22" t="s">
        <v>51</v>
      </c>
      <c r="F26" s="15">
        <v>118703</v>
      </c>
      <c r="G26" s="6"/>
      <c r="H26" s="6"/>
      <c r="I26" s="6"/>
      <c r="J26" s="6"/>
      <c r="K26" s="14"/>
      <c r="L26" s="8"/>
      <c r="M26" s="9"/>
      <c r="N26" s="11"/>
    </row>
    <row r="27" spans="1:14" s="2" customFormat="1" ht="27" customHeight="1">
      <c r="A27" s="34" t="s">
        <v>46</v>
      </c>
      <c r="B27" s="22" t="s">
        <v>159</v>
      </c>
      <c r="C27" s="22"/>
      <c r="D27" s="22"/>
      <c r="E27" s="22"/>
      <c r="F27" s="15">
        <f>SUM(F28:F30)</f>
        <v>48211137</v>
      </c>
      <c r="G27" s="6"/>
      <c r="H27" s="6"/>
      <c r="I27" s="6"/>
      <c r="J27" s="6"/>
      <c r="K27" s="14"/>
      <c r="L27" s="8"/>
      <c r="M27" s="9"/>
      <c r="N27" s="11"/>
    </row>
    <row r="28" spans="1:14" s="2" customFormat="1" ht="65.25" customHeight="1">
      <c r="A28" s="29" t="s">
        <v>329</v>
      </c>
      <c r="B28" s="22" t="s">
        <v>376</v>
      </c>
      <c r="C28" s="22" t="s">
        <v>42</v>
      </c>
      <c r="D28" s="22" t="s">
        <v>33</v>
      </c>
      <c r="E28" s="22" t="s">
        <v>52</v>
      </c>
      <c r="F28" s="15">
        <v>7767900</v>
      </c>
      <c r="G28" s="11"/>
      <c r="H28" s="11"/>
      <c r="I28" s="11"/>
      <c r="J28" s="11"/>
      <c r="K28" s="11"/>
      <c r="L28" s="11"/>
      <c r="M28" s="11"/>
      <c r="N28" s="11"/>
    </row>
    <row r="29" spans="1:14" s="2" customFormat="1" ht="38.25" customHeight="1">
      <c r="A29" s="34" t="s">
        <v>378</v>
      </c>
      <c r="B29" s="22" t="s">
        <v>377</v>
      </c>
      <c r="C29" s="22" t="s">
        <v>42</v>
      </c>
      <c r="D29" s="22" t="s">
        <v>33</v>
      </c>
      <c r="E29" s="22" t="s">
        <v>52</v>
      </c>
      <c r="F29" s="15">
        <f>13819237+279530</f>
        <v>14098767</v>
      </c>
      <c r="G29" s="11"/>
      <c r="H29" s="11"/>
      <c r="I29" s="11"/>
      <c r="J29" s="11"/>
      <c r="K29" s="11"/>
      <c r="L29" s="11"/>
      <c r="M29" s="11"/>
      <c r="N29" s="11"/>
    </row>
    <row r="30" spans="1:6" s="2" customFormat="1" ht="48.75" customHeight="1">
      <c r="A30" s="34" t="s">
        <v>303</v>
      </c>
      <c r="B30" s="22" t="s">
        <v>163</v>
      </c>
      <c r="C30" s="22" t="s">
        <v>42</v>
      </c>
      <c r="D30" s="22" t="s">
        <v>33</v>
      </c>
      <c r="E30" s="22" t="s">
        <v>52</v>
      </c>
      <c r="F30" s="15">
        <f>24747000+1597470</f>
        <v>26344470</v>
      </c>
    </row>
    <row r="31" spans="1:6" s="2" customFormat="1" ht="13.9" customHeight="1">
      <c r="A31" s="34" t="s">
        <v>100</v>
      </c>
      <c r="B31" s="22" t="s">
        <v>164</v>
      </c>
      <c r="C31" s="22"/>
      <c r="D31" s="22"/>
      <c r="E31" s="22"/>
      <c r="F31" s="15">
        <f>SUM(F32:F44)</f>
        <v>4484488</v>
      </c>
    </row>
    <row r="32" spans="1:6" s="2" customFormat="1" ht="49.5" customHeight="1">
      <c r="A32" s="34" t="s">
        <v>383</v>
      </c>
      <c r="B32" s="22" t="s">
        <v>379</v>
      </c>
      <c r="C32" s="22" t="s">
        <v>42</v>
      </c>
      <c r="D32" s="22" t="s">
        <v>33</v>
      </c>
      <c r="E32" s="22" t="s">
        <v>52</v>
      </c>
      <c r="F32" s="15">
        <v>669100</v>
      </c>
    </row>
    <row r="33" spans="1:6" s="2" customFormat="1" ht="54" customHeight="1">
      <c r="A33" s="34" t="s">
        <v>384</v>
      </c>
      <c r="B33" s="22" t="s">
        <v>380</v>
      </c>
      <c r="C33" s="22" t="s">
        <v>42</v>
      </c>
      <c r="D33" s="22" t="s">
        <v>33</v>
      </c>
      <c r="E33" s="22" t="s">
        <v>52</v>
      </c>
      <c r="F33" s="15">
        <v>352200</v>
      </c>
    </row>
    <row r="34" spans="1:6" s="2" customFormat="1" ht="39.75" customHeight="1">
      <c r="A34" s="34" t="s">
        <v>512</v>
      </c>
      <c r="B34" s="22" t="s">
        <v>511</v>
      </c>
      <c r="C34" s="22" t="s">
        <v>42</v>
      </c>
      <c r="D34" s="22" t="s">
        <v>32</v>
      </c>
      <c r="E34" s="22" t="s">
        <v>52</v>
      </c>
      <c r="F34" s="15">
        <v>150000</v>
      </c>
    </row>
    <row r="35" spans="1:6" s="2" customFormat="1" ht="63.75" customHeight="1">
      <c r="A35" s="34" t="s">
        <v>547</v>
      </c>
      <c r="B35" s="22" t="s">
        <v>545</v>
      </c>
      <c r="C35" s="22" t="s">
        <v>42</v>
      </c>
      <c r="D35" s="22" t="s">
        <v>33</v>
      </c>
      <c r="E35" s="22" t="s">
        <v>52</v>
      </c>
      <c r="F35" s="15">
        <v>600000</v>
      </c>
    </row>
    <row r="36" spans="1:6" s="2" customFormat="1" ht="28.5" customHeight="1">
      <c r="A36" s="34" t="s">
        <v>541</v>
      </c>
      <c r="B36" s="22" t="s">
        <v>540</v>
      </c>
      <c r="C36" s="22" t="s">
        <v>42</v>
      </c>
      <c r="D36" s="22" t="s">
        <v>33</v>
      </c>
      <c r="E36" s="22" t="s">
        <v>52</v>
      </c>
      <c r="F36" s="15">
        <f>219000+100000</f>
        <v>319000</v>
      </c>
    </row>
    <row r="37" spans="1:6" s="2" customFormat="1" ht="51.75" customHeight="1">
      <c r="A37" s="34" t="s">
        <v>385</v>
      </c>
      <c r="B37" s="22" t="s">
        <v>381</v>
      </c>
      <c r="C37" s="22" t="s">
        <v>42</v>
      </c>
      <c r="D37" s="22" t="s">
        <v>33</v>
      </c>
      <c r="E37" s="22" t="s">
        <v>52</v>
      </c>
      <c r="F37" s="15">
        <v>120000</v>
      </c>
    </row>
    <row r="38" spans="1:6" s="2" customFormat="1" ht="51" customHeight="1">
      <c r="A38" s="34" t="s">
        <v>384</v>
      </c>
      <c r="B38" s="22" t="s">
        <v>382</v>
      </c>
      <c r="C38" s="22" t="s">
        <v>42</v>
      </c>
      <c r="D38" s="22" t="s">
        <v>33</v>
      </c>
      <c r="E38" s="22" t="s">
        <v>52</v>
      </c>
      <c r="F38" s="15">
        <v>20000</v>
      </c>
    </row>
    <row r="39" spans="1:6" s="2" customFormat="1" ht="38.25" customHeight="1">
      <c r="A39" s="34" t="s">
        <v>500</v>
      </c>
      <c r="B39" s="22" t="s">
        <v>499</v>
      </c>
      <c r="C39" s="22" t="s">
        <v>42</v>
      </c>
      <c r="D39" s="22" t="s">
        <v>32</v>
      </c>
      <c r="E39" s="22" t="s">
        <v>52</v>
      </c>
      <c r="F39" s="15">
        <v>20000</v>
      </c>
    </row>
    <row r="40" spans="1:6" s="2" customFormat="1" ht="29.25" customHeight="1">
      <c r="A40" s="34" t="s">
        <v>527</v>
      </c>
      <c r="B40" s="22" t="s">
        <v>526</v>
      </c>
      <c r="C40" s="22" t="s">
        <v>42</v>
      </c>
      <c r="D40" s="22" t="s">
        <v>33</v>
      </c>
      <c r="E40" s="22" t="s">
        <v>52</v>
      </c>
      <c r="F40" s="15">
        <v>655945</v>
      </c>
    </row>
    <row r="41" spans="1:6" s="2" customFormat="1" ht="41.25" customHeight="1">
      <c r="A41" s="31" t="s">
        <v>386</v>
      </c>
      <c r="B41" s="22" t="s">
        <v>165</v>
      </c>
      <c r="C41" s="22" t="s">
        <v>42</v>
      </c>
      <c r="D41" s="22" t="s">
        <v>33</v>
      </c>
      <c r="E41" s="22" t="s">
        <v>52</v>
      </c>
      <c r="F41" s="15">
        <v>285000</v>
      </c>
    </row>
    <row r="42" spans="1:6" s="2" customFormat="1" ht="31.5" customHeight="1">
      <c r="A42" s="31" t="s">
        <v>563</v>
      </c>
      <c r="B42" s="22" t="s">
        <v>562</v>
      </c>
      <c r="C42" s="22" t="s">
        <v>42</v>
      </c>
      <c r="D42" s="22" t="s">
        <v>33</v>
      </c>
      <c r="E42" s="22" t="s">
        <v>52</v>
      </c>
      <c r="F42" s="15">
        <v>50000</v>
      </c>
    </row>
    <row r="43" spans="1:6" s="2" customFormat="1" ht="36" customHeight="1">
      <c r="A43" s="31" t="s">
        <v>498</v>
      </c>
      <c r="B43" s="22" t="s">
        <v>496</v>
      </c>
      <c r="C43" s="22" t="s">
        <v>42</v>
      </c>
      <c r="D43" s="22" t="s">
        <v>33</v>
      </c>
      <c r="E43" s="22" t="s">
        <v>52</v>
      </c>
      <c r="F43" s="15">
        <v>149838</v>
      </c>
    </row>
    <row r="44" spans="1:6" s="2" customFormat="1" ht="53.25" customHeight="1">
      <c r="A44" s="31" t="s">
        <v>531</v>
      </c>
      <c r="B44" s="22" t="s">
        <v>497</v>
      </c>
      <c r="C44" s="22" t="s">
        <v>42</v>
      </c>
      <c r="D44" s="22" t="s">
        <v>33</v>
      </c>
      <c r="E44" s="22" t="s">
        <v>52</v>
      </c>
      <c r="F44" s="15">
        <v>1093405</v>
      </c>
    </row>
    <row r="45" spans="1:6" s="2" customFormat="1" ht="22.5" customHeight="1">
      <c r="A45" s="22" t="s">
        <v>45</v>
      </c>
      <c r="B45" s="22" t="s">
        <v>168</v>
      </c>
      <c r="C45" s="22"/>
      <c r="D45" s="22"/>
      <c r="E45" s="22"/>
      <c r="F45" s="15">
        <f>SUM(F46:F48)</f>
        <v>3532467</v>
      </c>
    </row>
    <row r="46" spans="1:6" s="2" customFormat="1" ht="85.5" customHeight="1">
      <c r="A46" s="29" t="s">
        <v>130</v>
      </c>
      <c r="B46" s="22" t="s">
        <v>169</v>
      </c>
      <c r="C46" s="22" t="s">
        <v>42</v>
      </c>
      <c r="D46" s="22" t="s">
        <v>39</v>
      </c>
      <c r="E46" s="22" t="s">
        <v>47</v>
      </c>
      <c r="F46" s="15">
        <f>2508902+690+757688</f>
        <v>3267280</v>
      </c>
    </row>
    <row r="47" spans="1:6" s="2" customFormat="1" ht="56.25" customHeight="1">
      <c r="A47" s="29" t="s">
        <v>132</v>
      </c>
      <c r="B47" s="22" t="s">
        <v>169</v>
      </c>
      <c r="C47" s="22" t="s">
        <v>42</v>
      </c>
      <c r="D47" s="22" t="s">
        <v>39</v>
      </c>
      <c r="E47" s="22" t="s">
        <v>48</v>
      </c>
      <c r="F47" s="15">
        <f>209550+53912.68</f>
        <v>263462.68</v>
      </c>
    </row>
    <row r="48" spans="1:6" s="2" customFormat="1" ht="45.75" customHeight="1">
      <c r="A48" s="28" t="s">
        <v>133</v>
      </c>
      <c r="B48" s="22" t="s">
        <v>169</v>
      </c>
      <c r="C48" s="22" t="s">
        <v>42</v>
      </c>
      <c r="D48" s="22" t="s">
        <v>39</v>
      </c>
      <c r="E48" s="22" t="s">
        <v>50</v>
      </c>
      <c r="F48" s="15">
        <v>1724.32</v>
      </c>
    </row>
    <row r="49" spans="1:6" s="2" customFormat="1" ht="27.75" customHeight="1">
      <c r="A49" s="32" t="s">
        <v>388</v>
      </c>
      <c r="B49" s="21" t="s">
        <v>389</v>
      </c>
      <c r="C49" s="21"/>
      <c r="D49" s="21"/>
      <c r="E49" s="21"/>
      <c r="F49" s="17">
        <f>F50+F56</f>
        <v>23729093</v>
      </c>
    </row>
    <row r="50" spans="1:6" s="2" customFormat="1" ht="18" customHeight="1">
      <c r="A50" s="31" t="s">
        <v>23</v>
      </c>
      <c r="B50" s="22" t="s">
        <v>390</v>
      </c>
      <c r="C50" s="22"/>
      <c r="D50" s="22"/>
      <c r="E50" s="22"/>
      <c r="F50" s="15">
        <f>SUM(F51:F55)</f>
        <v>1803717</v>
      </c>
    </row>
    <row r="51" spans="1:6" s="2" customFormat="1" ht="35.25" customHeight="1">
      <c r="A51" s="31" t="s">
        <v>395</v>
      </c>
      <c r="B51" s="22" t="s">
        <v>391</v>
      </c>
      <c r="C51" s="22" t="s">
        <v>39</v>
      </c>
      <c r="D51" s="22" t="s">
        <v>33</v>
      </c>
      <c r="E51" s="22" t="s">
        <v>48</v>
      </c>
      <c r="F51" s="15">
        <v>100000</v>
      </c>
    </row>
    <row r="52" spans="1:6" s="2" customFormat="1" ht="35.25" customHeight="1">
      <c r="A52" s="31" t="s">
        <v>502</v>
      </c>
      <c r="B52" s="22" t="s">
        <v>501</v>
      </c>
      <c r="C52" s="22" t="s">
        <v>39</v>
      </c>
      <c r="D52" s="22" t="s">
        <v>33</v>
      </c>
      <c r="E52" s="22" t="s">
        <v>48</v>
      </c>
      <c r="F52" s="15">
        <v>133500</v>
      </c>
    </row>
    <row r="53" spans="1:6" s="2" customFormat="1" ht="27" customHeight="1">
      <c r="A53" s="31" t="s">
        <v>315</v>
      </c>
      <c r="B53" s="22" t="s">
        <v>393</v>
      </c>
      <c r="C53" s="22" t="s">
        <v>39</v>
      </c>
      <c r="D53" s="22" t="s">
        <v>33</v>
      </c>
      <c r="E53" s="22" t="s">
        <v>48</v>
      </c>
      <c r="F53" s="15">
        <v>1290080</v>
      </c>
    </row>
    <row r="54" spans="1:6" s="2" customFormat="1" ht="27" customHeight="1">
      <c r="A54" s="31" t="s">
        <v>504</v>
      </c>
      <c r="B54" s="22" t="s">
        <v>503</v>
      </c>
      <c r="C54" s="22" t="s">
        <v>39</v>
      </c>
      <c r="D54" s="22" t="s">
        <v>39</v>
      </c>
      <c r="E54" s="22" t="s">
        <v>48</v>
      </c>
      <c r="F54" s="15">
        <v>140000</v>
      </c>
    </row>
    <row r="55" spans="1:6" s="2" customFormat="1" ht="27" customHeight="1">
      <c r="A55" s="31" t="s">
        <v>487</v>
      </c>
      <c r="B55" s="22" t="s">
        <v>486</v>
      </c>
      <c r="C55" s="22" t="s">
        <v>39</v>
      </c>
      <c r="D55" s="22" t="s">
        <v>33</v>
      </c>
      <c r="E55" s="22" t="s">
        <v>48</v>
      </c>
      <c r="F55" s="15">
        <v>140137</v>
      </c>
    </row>
    <row r="56" spans="1:6" s="2" customFormat="1" ht="16.5" customHeight="1">
      <c r="A56" s="33" t="s">
        <v>81</v>
      </c>
      <c r="B56" s="22" t="s">
        <v>392</v>
      </c>
      <c r="C56" s="22"/>
      <c r="D56" s="22"/>
      <c r="E56" s="22"/>
      <c r="F56" s="15">
        <f>SUM(F57:F64)</f>
        <v>21925376</v>
      </c>
    </row>
    <row r="57" spans="1:6" s="2" customFormat="1" ht="30" customHeight="1">
      <c r="A57" s="31" t="s">
        <v>475</v>
      </c>
      <c r="B57" s="22" t="s">
        <v>474</v>
      </c>
      <c r="C57" s="22" t="s">
        <v>39</v>
      </c>
      <c r="D57" s="22" t="s">
        <v>39</v>
      </c>
      <c r="E57" s="22" t="s">
        <v>82</v>
      </c>
      <c r="F57" s="15">
        <v>4500000</v>
      </c>
    </row>
    <row r="58" spans="1:6" s="2" customFormat="1" ht="30" customHeight="1">
      <c r="A58" s="31" t="s">
        <v>475</v>
      </c>
      <c r="B58" s="22" t="s">
        <v>477</v>
      </c>
      <c r="C58" s="22" t="s">
        <v>39</v>
      </c>
      <c r="D58" s="22" t="s">
        <v>39</v>
      </c>
      <c r="E58" s="22" t="s">
        <v>82</v>
      </c>
      <c r="F58" s="15">
        <v>1500</v>
      </c>
    </row>
    <row r="59" spans="1:6" s="2" customFormat="1" ht="59.25" customHeight="1">
      <c r="A59" s="36" t="s">
        <v>513</v>
      </c>
      <c r="B59" s="22" t="s">
        <v>476</v>
      </c>
      <c r="C59" s="22" t="s">
        <v>39</v>
      </c>
      <c r="D59" s="22" t="s">
        <v>33</v>
      </c>
      <c r="E59" s="22" t="s">
        <v>48</v>
      </c>
      <c r="F59" s="15">
        <v>12000000</v>
      </c>
    </row>
    <row r="60" spans="1:6" s="2" customFormat="1" ht="58.5" customHeight="1">
      <c r="A60" s="36" t="s">
        <v>513</v>
      </c>
      <c r="B60" s="22" t="s">
        <v>478</v>
      </c>
      <c r="C60" s="22" t="s">
        <v>39</v>
      </c>
      <c r="D60" s="22" t="s">
        <v>33</v>
      </c>
      <c r="E60" s="22" t="s">
        <v>48</v>
      </c>
      <c r="F60" s="15">
        <v>10000</v>
      </c>
    </row>
    <row r="61" spans="1:6" s="2" customFormat="1" ht="28.5" customHeight="1">
      <c r="A61" s="36" t="s">
        <v>546</v>
      </c>
      <c r="B61" s="22" t="s">
        <v>520</v>
      </c>
      <c r="C61" s="22" t="s">
        <v>39</v>
      </c>
      <c r="D61" s="22" t="s">
        <v>33</v>
      </c>
      <c r="E61" s="22" t="s">
        <v>48</v>
      </c>
      <c r="F61" s="15">
        <v>98008</v>
      </c>
    </row>
    <row r="62" spans="1:6" s="2" customFormat="1" ht="28.5" customHeight="1">
      <c r="A62" s="31" t="s">
        <v>521</v>
      </c>
      <c r="B62" s="22" t="s">
        <v>520</v>
      </c>
      <c r="C62" s="22" t="s">
        <v>39</v>
      </c>
      <c r="D62" s="22" t="s">
        <v>33</v>
      </c>
      <c r="E62" s="22" t="s">
        <v>82</v>
      </c>
      <c r="F62" s="15">
        <v>438315</v>
      </c>
    </row>
    <row r="63" spans="1:6" s="2" customFormat="1" ht="25.5" customHeight="1">
      <c r="A63" s="33" t="s">
        <v>156</v>
      </c>
      <c r="B63" s="22" t="s">
        <v>394</v>
      </c>
      <c r="C63" s="22" t="s">
        <v>39</v>
      </c>
      <c r="D63" s="22" t="s">
        <v>39</v>
      </c>
      <c r="E63" s="22" t="s">
        <v>82</v>
      </c>
      <c r="F63" s="15">
        <v>3877553</v>
      </c>
    </row>
    <row r="64" spans="1:6" s="2" customFormat="1" ht="32.25" customHeight="1">
      <c r="A64" s="36" t="s">
        <v>480</v>
      </c>
      <c r="B64" s="22" t="s">
        <v>479</v>
      </c>
      <c r="C64" s="22" t="s">
        <v>39</v>
      </c>
      <c r="D64" s="22" t="s">
        <v>33</v>
      </c>
      <c r="E64" s="22" t="s">
        <v>82</v>
      </c>
      <c r="F64" s="15">
        <v>1000000</v>
      </c>
    </row>
    <row r="65" spans="1:6" s="2" customFormat="1" ht="25.5">
      <c r="A65" s="30" t="s">
        <v>396</v>
      </c>
      <c r="B65" s="21" t="s">
        <v>104</v>
      </c>
      <c r="C65" s="22"/>
      <c r="D65" s="22"/>
      <c r="E65" s="22"/>
      <c r="F65" s="17">
        <f>F68+F66</f>
        <v>300000</v>
      </c>
    </row>
    <row r="66" spans="1:6" s="2" customFormat="1" ht="12.75">
      <c r="A66" s="31" t="s">
        <v>23</v>
      </c>
      <c r="B66" s="22" t="s">
        <v>542</v>
      </c>
      <c r="C66" s="22"/>
      <c r="D66" s="22"/>
      <c r="E66" s="22"/>
      <c r="F66" s="15">
        <f>F67</f>
        <v>100000</v>
      </c>
    </row>
    <row r="67" spans="1:6" s="2" customFormat="1" ht="29.25" customHeight="1">
      <c r="A67" s="28" t="s">
        <v>544</v>
      </c>
      <c r="B67" s="22" t="s">
        <v>543</v>
      </c>
      <c r="C67" s="22" t="s">
        <v>32</v>
      </c>
      <c r="D67" s="22" t="s">
        <v>107</v>
      </c>
      <c r="E67" s="22" t="s">
        <v>48</v>
      </c>
      <c r="F67" s="15">
        <v>100000</v>
      </c>
    </row>
    <row r="68" spans="1:6" s="2" customFormat="1" ht="27" customHeight="1">
      <c r="A68" s="28" t="s">
        <v>121</v>
      </c>
      <c r="B68" s="22" t="s">
        <v>105</v>
      </c>
      <c r="C68" s="22"/>
      <c r="D68" s="22"/>
      <c r="E68" s="22"/>
      <c r="F68" s="15">
        <f>SUM(F69)</f>
        <v>200000</v>
      </c>
    </row>
    <row r="69" spans="1:6" s="2" customFormat="1" ht="39.75" customHeight="1">
      <c r="A69" s="28" t="s">
        <v>304</v>
      </c>
      <c r="B69" s="22" t="s">
        <v>106</v>
      </c>
      <c r="C69" s="22" t="s">
        <v>32</v>
      </c>
      <c r="D69" s="22" t="s">
        <v>107</v>
      </c>
      <c r="E69" s="22" t="s">
        <v>52</v>
      </c>
      <c r="F69" s="15">
        <v>200000</v>
      </c>
    </row>
    <row r="70" spans="1:6" s="2" customFormat="1" ht="25.5" customHeight="1">
      <c r="A70" s="35" t="s">
        <v>402</v>
      </c>
      <c r="B70" s="21" t="s">
        <v>103</v>
      </c>
      <c r="C70" s="22"/>
      <c r="D70" s="22"/>
      <c r="E70" s="22"/>
      <c r="F70" s="17">
        <f>SUM(F71+F74+F76+F81+F92+F104+F106)</f>
        <v>308687449.1</v>
      </c>
    </row>
    <row r="71" spans="1:6" s="2" customFormat="1" ht="12.75">
      <c r="A71" s="28" t="s">
        <v>59</v>
      </c>
      <c r="B71" s="22" t="s">
        <v>180</v>
      </c>
      <c r="C71" s="22"/>
      <c r="D71" s="22"/>
      <c r="E71" s="22"/>
      <c r="F71" s="15">
        <f>SUM(F72:F73)</f>
        <v>3504458</v>
      </c>
    </row>
    <row r="72" spans="1:13" s="2" customFormat="1" ht="63.75">
      <c r="A72" s="29" t="s">
        <v>64</v>
      </c>
      <c r="B72" s="22" t="s">
        <v>181</v>
      </c>
      <c r="C72" s="22" t="s">
        <v>40</v>
      </c>
      <c r="D72" s="22" t="s">
        <v>36</v>
      </c>
      <c r="E72" s="22" t="s">
        <v>47</v>
      </c>
      <c r="F72" s="15">
        <f>2367687+715041</f>
        <v>3082728</v>
      </c>
      <c r="G72" s="6"/>
      <c r="H72" s="6"/>
      <c r="I72" s="6"/>
      <c r="J72" s="6"/>
      <c r="K72" s="13"/>
      <c r="L72" s="9"/>
      <c r="M72" s="9"/>
    </row>
    <row r="73" spans="1:13" s="2" customFormat="1" ht="38.25">
      <c r="A73" s="28" t="s">
        <v>65</v>
      </c>
      <c r="B73" s="22" t="s">
        <v>181</v>
      </c>
      <c r="C73" s="22" t="s">
        <v>40</v>
      </c>
      <c r="D73" s="22" t="s">
        <v>36</v>
      </c>
      <c r="E73" s="22" t="s">
        <v>48</v>
      </c>
      <c r="F73" s="15">
        <f>58980+302750+60000</f>
        <v>421730</v>
      </c>
      <c r="G73" s="6"/>
      <c r="H73" s="6"/>
      <c r="I73" s="6"/>
      <c r="J73" s="6"/>
      <c r="K73" s="13"/>
      <c r="L73" s="9"/>
      <c r="M73" s="9"/>
    </row>
    <row r="74" spans="1:13" s="2" customFormat="1" ht="25.5">
      <c r="A74" s="36" t="s">
        <v>187</v>
      </c>
      <c r="B74" s="22" t="s">
        <v>188</v>
      </c>
      <c r="C74" s="22"/>
      <c r="D74" s="22"/>
      <c r="E74" s="22"/>
      <c r="F74" s="15">
        <f>SUM(F75)</f>
        <v>2037600</v>
      </c>
      <c r="G74" s="6"/>
      <c r="H74" s="6"/>
      <c r="I74" s="6"/>
      <c r="J74" s="6"/>
      <c r="K74" s="13"/>
      <c r="L74" s="9"/>
      <c r="M74" s="12"/>
    </row>
    <row r="75" spans="1:13" s="2" customFormat="1" ht="38.25">
      <c r="A75" s="31" t="s">
        <v>308</v>
      </c>
      <c r="B75" s="22" t="s">
        <v>189</v>
      </c>
      <c r="C75" s="22" t="s">
        <v>38</v>
      </c>
      <c r="D75" s="22" t="s">
        <v>34</v>
      </c>
      <c r="E75" s="22" t="s">
        <v>51</v>
      </c>
      <c r="F75" s="15">
        <v>2037600</v>
      </c>
      <c r="G75" s="6"/>
      <c r="H75" s="6"/>
      <c r="I75" s="6"/>
      <c r="J75" s="6"/>
      <c r="K75" s="14"/>
      <c r="L75" s="8"/>
      <c r="M75" s="12"/>
    </row>
    <row r="76" spans="1:13" s="2" customFormat="1" ht="12.75">
      <c r="A76" s="31" t="s">
        <v>23</v>
      </c>
      <c r="B76" s="22" t="s">
        <v>95</v>
      </c>
      <c r="C76" s="22"/>
      <c r="D76" s="22"/>
      <c r="E76" s="22"/>
      <c r="F76" s="15">
        <f>SUM(F77:F80)</f>
        <v>270007.82999999996</v>
      </c>
      <c r="G76" s="6"/>
      <c r="H76" s="6"/>
      <c r="I76" s="6"/>
      <c r="J76" s="6"/>
      <c r="K76" s="14"/>
      <c r="L76" s="8"/>
      <c r="M76" s="12"/>
    </row>
    <row r="77" spans="1:13" s="2" customFormat="1" ht="25.5">
      <c r="A77" s="31" t="s">
        <v>507</v>
      </c>
      <c r="B77" s="22" t="s">
        <v>505</v>
      </c>
      <c r="C77" s="22" t="s">
        <v>40</v>
      </c>
      <c r="D77" s="22" t="s">
        <v>36</v>
      </c>
      <c r="E77" s="22" t="s">
        <v>48</v>
      </c>
      <c r="F77" s="15">
        <v>3000</v>
      </c>
      <c r="G77" s="6"/>
      <c r="H77" s="6"/>
      <c r="I77" s="6"/>
      <c r="J77" s="6"/>
      <c r="K77" s="14"/>
      <c r="L77" s="8"/>
      <c r="M77" s="12"/>
    </row>
    <row r="78" spans="1:13" s="2" customFormat="1" ht="25.5">
      <c r="A78" s="31" t="s">
        <v>506</v>
      </c>
      <c r="B78" s="22" t="s">
        <v>505</v>
      </c>
      <c r="C78" s="22" t="s">
        <v>40</v>
      </c>
      <c r="D78" s="22" t="s">
        <v>36</v>
      </c>
      <c r="E78" s="22" t="s">
        <v>51</v>
      </c>
      <c r="F78" s="15">
        <v>27000</v>
      </c>
      <c r="G78" s="6"/>
      <c r="H78" s="6"/>
      <c r="I78" s="6"/>
      <c r="J78" s="6"/>
      <c r="K78" s="14"/>
      <c r="L78" s="8"/>
      <c r="M78" s="12"/>
    </row>
    <row r="79" spans="1:13" s="2" customFormat="1" ht="38.25">
      <c r="A79" s="31" t="s">
        <v>97</v>
      </c>
      <c r="B79" s="22" t="s">
        <v>96</v>
      </c>
      <c r="C79" s="22" t="s">
        <v>40</v>
      </c>
      <c r="D79" s="22" t="s">
        <v>36</v>
      </c>
      <c r="E79" s="22" t="s">
        <v>51</v>
      </c>
      <c r="F79" s="15">
        <v>89353</v>
      </c>
      <c r="G79" s="6"/>
      <c r="H79" s="6"/>
      <c r="I79" s="6"/>
      <c r="J79" s="6"/>
      <c r="K79" s="14"/>
      <c r="L79" s="8"/>
      <c r="M79" s="12"/>
    </row>
    <row r="80" spans="1:13" s="2" customFormat="1" ht="38.25">
      <c r="A80" s="34" t="s">
        <v>514</v>
      </c>
      <c r="B80" s="22" t="s">
        <v>522</v>
      </c>
      <c r="C80" s="22" t="s">
        <v>40</v>
      </c>
      <c r="D80" s="22" t="s">
        <v>40</v>
      </c>
      <c r="E80" s="22" t="s">
        <v>48</v>
      </c>
      <c r="F80" s="15">
        <v>150654.83</v>
      </c>
      <c r="G80" s="6"/>
      <c r="H80" s="6"/>
      <c r="I80" s="6"/>
      <c r="J80" s="6"/>
      <c r="K80" s="14"/>
      <c r="L80" s="8"/>
      <c r="M80" s="12"/>
    </row>
    <row r="81" spans="1:13" s="2" customFormat="1" ht="29.25" customHeight="1">
      <c r="A81" s="34" t="s">
        <v>46</v>
      </c>
      <c r="B81" s="22" t="s">
        <v>170</v>
      </c>
      <c r="C81" s="22"/>
      <c r="D81" s="22"/>
      <c r="E81" s="22"/>
      <c r="F81" s="15">
        <f>SUM(F82:F91)</f>
        <v>261776834</v>
      </c>
      <c r="G81" s="6"/>
      <c r="H81" s="6"/>
      <c r="I81" s="6"/>
      <c r="J81" s="6"/>
      <c r="K81" s="14"/>
      <c r="L81" s="8"/>
      <c r="M81" s="12"/>
    </row>
    <row r="82" spans="1:13" s="2" customFormat="1" ht="51.75" customHeight="1">
      <c r="A82" s="34" t="s">
        <v>112</v>
      </c>
      <c r="B82" s="22" t="s">
        <v>357</v>
      </c>
      <c r="C82" s="22" t="s">
        <v>40</v>
      </c>
      <c r="D82" s="22" t="s">
        <v>33</v>
      </c>
      <c r="E82" s="22" t="s">
        <v>52</v>
      </c>
      <c r="F82" s="15">
        <v>465800</v>
      </c>
      <c r="G82" s="6"/>
      <c r="H82" s="6"/>
      <c r="I82" s="6"/>
      <c r="J82" s="6"/>
      <c r="K82" s="14"/>
      <c r="L82" s="8"/>
      <c r="M82" s="12"/>
    </row>
    <row r="83" spans="1:13" s="2" customFormat="1" ht="31.5" customHeight="1">
      <c r="A83" s="34" t="s">
        <v>134</v>
      </c>
      <c r="B83" s="22" t="s">
        <v>171</v>
      </c>
      <c r="C83" s="22" t="s">
        <v>40</v>
      </c>
      <c r="D83" s="22" t="s">
        <v>33</v>
      </c>
      <c r="E83" s="22" t="s">
        <v>52</v>
      </c>
      <c r="F83" s="15">
        <f>41937545+27132+2994903</f>
        <v>44959580</v>
      </c>
      <c r="G83" s="6"/>
      <c r="H83" s="6"/>
      <c r="I83" s="6"/>
      <c r="J83" s="6"/>
      <c r="K83" s="14"/>
      <c r="L83" s="8"/>
      <c r="M83" s="12"/>
    </row>
    <row r="84" spans="1:6" s="2" customFormat="1" ht="25.5">
      <c r="A84" s="34" t="s">
        <v>136</v>
      </c>
      <c r="B84" s="22" t="s">
        <v>176</v>
      </c>
      <c r="C84" s="22" t="s">
        <v>40</v>
      </c>
      <c r="D84" s="22" t="s">
        <v>32</v>
      </c>
      <c r="E84" s="22" t="s">
        <v>52</v>
      </c>
      <c r="F84" s="15">
        <f>16159780+333186</f>
        <v>16492966</v>
      </c>
    </row>
    <row r="85" spans="1:6" s="2" customFormat="1" ht="25.5">
      <c r="A85" s="34" t="s">
        <v>135</v>
      </c>
      <c r="B85" s="22" t="s">
        <v>175</v>
      </c>
      <c r="C85" s="22" t="s">
        <v>40</v>
      </c>
      <c r="D85" s="22" t="s">
        <v>33</v>
      </c>
      <c r="E85" s="22" t="s">
        <v>52</v>
      </c>
      <c r="F85" s="15">
        <f>5070191+3846+281558</f>
        <v>5355595</v>
      </c>
    </row>
    <row r="86" spans="1:14" s="2" customFormat="1" ht="63.75">
      <c r="A86" s="34" t="s">
        <v>307</v>
      </c>
      <c r="B86" s="22" t="s">
        <v>182</v>
      </c>
      <c r="C86" s="22" t="s">
        <v>40</v>
      </c>
      <c r="D86" s="22" t="s">
        <v>36</v>
      </c>
      <c r="E86" s="22" t="s">
        <v>52</v>
      </c>
      <c r="F86" s="15">
        <v>37200</v>
      </c>
      <c r="G86" s="6"/>
      <c r="H86" s="6"/>
      <c r="I86" s="6"/>
      <c r="J86" s="6"/>
      <c r="K86" s="14"/>
      <c r="L86" s="8"/>
      <c r="M86" s="12"/>
      <c r="N86" s="11"/>
    </row>
    <row r="87" spans="1:14" s="2" customFormat="1" ht="63.75">
      <c r="A87" s="34" t="s">
        <v>548</v>
      </c>
      <c r="B87" s="22" t="s">
        <v>550</v>
      </c>
      <c r="C87" s="22" t="s">
        <v>40</v>
      </c>
      <c r="D87" s="22" t="s">
        <v>33</v>
      </c>
      <c r="E87" s="22" t="s">
        <v>52</v>
      </c>
      <c r="F87" s="15">
        <v>6795684</v>
      </c>
      <c r="G87" s="6"/>
      <c r="H87" s="6"/>
      <c r="I87" s="6"/>
      <c r="J87" s="6"/>
      <c r="K87" s="14"/>
      <c r="L87" s="8"/>
      <c r="M87" s="12"/>
      <c r="N87" s="11"/>
    </row>
    <row r="88" spans="1:14" s="2" customFormat="1" ht="63.75">
      <c r="A88" s="34" t="s">
        <v>549</v>
      </c>
      <c r="B88" s="22" t="s">
        <v>550</v>
      </c>
      <c r="C88" s="22" t="s">
        <v>40</v>
      </c>
      <c r="D88" s="22" t="s">
        <v>32</v>
      </c>
      <c r="E88" s="22" t="s">
        <v>52</v>
      </c>
      <c r="F88" s="15">
        <v>691059</v>
      </c>
      <c r="G88" s="6"/>
      <c r="H88" s="6"/>
      <c r="I88" s="6"/>
      <c r="J88" s="6"/>
      <c r="K88" s="14"/>
      <c r="L88" s="8"/>
      <c r="M88" s="12"/>
      <c r="N88" s="11"/>
    </row>
    <row r="89" spans="1:6" s="2" customFormat="1" ht="80.25" customHeight="1">
      <c r="A89" s="34" t="s">
        <v>55</v>
      </c>
      <c r="B89" s="22" t="s">
        <v>172</v>
      </c>
      <c r="C89" s="22" t="s">
        <v>40</v>
      </c>
      <c r="D89" s="22" t="s">
        <v>33</v>
      </c>
      <c r="E89" s="22" t="s">
        <v>52</v>
      </c>
      <c r="F89" s="15">
        <v>16457540</v>
      </c>
    </row>
    <row r="90" spans="1:6" s="2" customFormat="1" ht="68.25" customHeight="1">
      <c r="A90" s="34" t="s">
        <v>56</v>
      </c>
      <c r="B90" s="22" t="s">
        <v>173</v>
      </c>
      <c r="C90" s="22" t="s">
        <v>40</v>
      </c>
      <c r="D90" s="22" t="s">
        <v>33</v>
      </c>
      <c r="E90" s="22" t="s">
        <v>52</v>
      </c>
      <c r="F90" s="15">
        <v>169049090</v>
      </c>
    </row>
    <row r="91" spans="1:13" s="2" customFormat="1" ht="57" customHeight="1">
      <c r="A91" s="34" t="s">
        <v>112</v>
      </c>
      <c r="B91" s="22" t="s">
        <v>174</v>
      </c>
      <c r="C91" s="22" t="s">
        <v>40</v>
      </c>
      <c r="D91" s="22" t="s">
        <v>33</v>
      </c>
      <c r="E91" s="22" t="s">
        <v>52</v>
      </c>
      <c r="F91" s="15">
        <f>922320+550000</f>
        <v>1472320</v>
      </c>
      <c r="G91" s="6"/>
      <c r="H91" s="6"/>
      <c r="I91" s="6"/>
      <c r="J91" s="6"/>
      <c r="K91" s="14"/>
      <c r="L91" s="8"/>
      <c r="M91" s="12"/>
    </row>
    <row r="92" spans="1:6" s="2" customFormat="1" ht="12.75">
      <c r="A92" s="34" t="s">
        <v>100</v>
      </c>
      <c r="B92" s="22" t="s">
        <v>177</v>
      </c>
      <c r="C92" s="22"/>
      <c r="D92" s="22"/>
      <c r="E92" s="22"/>
      <c r="F92" s="15">
        <f>SUM(F93:F103)</f>
        <v>23254342.27</v>
      </c>
    </row>
    <row r="93" spans="1:6" s="2" customFormat="1" ht="28.5" customHeight="1">
      <c r="A93" s="34" t="s">
        <v>359</v>
      </c>
      <c r="B93" s="22" t="s">
        <v>358</v>
      </c>
      <c r="C93" s="22" t="s">
        <v>40</v>
      </c>
      <c r="D93" s="22" t="s">
        <v>40</v>
      </c>
      <c r="E93" s="22" t="s">
        <v>52</v>
      </c>
      <c r="F93" s="15">
        <v>9664800</v>
      </c>
    </row>
    <row r="94" spans="1:6" s="2" customFormat="1" ht="36.75" customHeight="1">
      <c r="A94" s="34" t="s">
        <v>399</v>
      </c>
      <c r="B94" s="22" t="s">
        <v>397</v>
      </c>
      <c r="C94" s="22" t="s">
        <v>40</v>
      </c>
      <c r="D94" s="22" t="s">
        <v>33</v>
      </c>
      <c r="E94" s="22" t="s">
        <v>52</v>
      </c>
      <c r="F94" s="15">
        <v>319000</v>
      </c>
    </row>
    <row r="95" spans="1:6" s="2" customFormat="1" ht="51">
      <c r="A95" s="34" t="s">
        <v>400</v>
      </c>
      <c r="B95" s="22" t="s">
        <v>398</v>
      </c>
      <c r="C95" s="22" t="s">
        <v>40</v>
      </c>
      <c r="D95" s="22" t="s">
        <v>33</v>
      </c>
      <c r="E95" s="22" t="s">
        <v>52</v>
      </c>
      <c r="F95" s="15">
        <v>70000</v>
      </c>
    </row>
    <row r="96" spans="1:6" s="2" customFormat="1" ht="38.25">
      <c r="A96" s="34" t="s">
        <v>551</v>
      </c>
      <c r="B96" s="22" t="s">
        <v>178</v>
      </c>
      <c r="C96" s="22" t="s">
        <v>40</v>
      </c>
      <c r="D96" s="22" t="s">
        <v>40</v>
      </c>
      <c r="E96" s="22" t="s">
        <v>48</v>
      </c>
      <c r="F96" s="15">
        <v>67926.41</v>
      </c>
    </row>
    <row r="97" spans="1:6" s="2" customFormat="1" ht="38.25">
      <c r="A97" s="34" t="s">
        <v>306</v>
      </c>
      <c r="B97" s="22" t="s">
        <v>178</v>
      </c>
      <c r="C97" s="22" t="s">
        <v>40</v>
      </c>
      <c r="D97" s="22" t="s">
        <v>40</v>
      </c>
      <c r="E97" s="22" t="s">
        <v>52</v>
      </c>
      <c r="F97" s="15">
        <f>2158179.04+154935.72</f>
        <v>2313114.7600000002</v>
      </c>
    </row>
    <row r="98" spans="1:6" s="2" customFormat="1" ht="38.25">
      <c r="A98" s="34" t="s">
        <v>108</v>
      </c>
      <c r="B98" s="22" t="s">
        <v>179</v>
      </c>
      <c r="C98" s="22" t="s">
        <v>40</v>
      </c>
      <c r="D98" s="22" t="s">
        <v>40</v>
      </c>
      <c r="E98" s="22" t="s">
        <v>52</v>
      </c>
      <c r="F98" s="15">
        <v>320000</v>
      </c>
    </row>
    <row r="99" spans="1:6" s="2" customFormat="1" ht="38.25">
      <c r="A99" s="34" t="s">
        <v>492</v>
      </c>
      <c r="B99" s="22" t="s">
        <v>490</v>
      </c>
      <c r="C99" s="22" t="s">
        <v>40</v>
      </c>
      <c r="D99" s="22" t="s">
        <v>31</v>
      </c>
      <c r="E99" s="22" t="s">
        <v>52</v>
      </c>
      <c r="F99" s="15">
        <v>469758</v>
      </c>
    </row>
    <row r="100" spans="1:6" s="2" customFormat="1" ht="38.25">
      <c r="A100" s="34" t="s">
        <v>492</v>
      </c>
      <c r="B100" s="22" t="s">
        <v>490</v>
      </c>
      <c r="C100" s="22" t="s">
        <v>40</v>
      </c>
      <c r="D100" s="22" t="s">
        <v>33</v>
      </c>
      <c r="E100" s="22" t="s">
        <v>52</v>
      </c>
      <c r="F100" s="15">
        <v>8997875.22</v>
      </c>
    </row>
    <row r="101" spans="1:6" s="2" customFormat="1" ht="38.25">
      <c r="A101" s="34" t="s">
        <v>492</v>
      </c>
      <c r="B101" s="22" t="s">
        <v>490</v>
      </c>
      <c r="C101" s="22" t="s">
        <v>40</v>
      </c>
      <c r="D101" s="22" t="s">
        <v>32</v>
      </c>
      <c r="E101" s="22" t="s">
        <v>52</v>
      </c>
      <c r="F101" s="15">
        <v>69207.08</v>
      </c>
    </row>
    <row r="102" spans="1:6" s="2" customFormat="1" ht="30.75" customHeight="1">
      <c r="A102" s="34" t="s">
        <v>493</v>
      </c>
      <c r="B102" s="22" t="s">
        <v>491</v>
      </c>
      <c r="C102" s="22" t="s">
        <v>40</v>
      </c>
      <c r="D102" s="22" t="s">
        <v>31</v>
      </c>
      <c r="E102" s="22" t="s">
        <v>52</v>
      </c>
      <c r="F102" s="15">
        <f>67000+288586</f>
        <v>355586</v>
      </c>
    </row>
    <row r="103" spans="1:6" s="2" customFormat="1" ht="32.25" customHeight="1">
      <c r="A103" s="34" t="s">
        <v>493</v>
      </c>
      <c r="B103" s="22" t="s">
        <v>491</v>
      </c>
      <c r="C103" s="22" t="s">
        <v>40</v>
      </c>
      <c r="D103" s="22" t="s">
        <v>33</v>
      </c>
      <c r="E103" s="22" t="s">
        <v>52</v>
      </c>
      <c r="F103" s="15">
        <f>558074.8+49000</f>
        <v>607074.8</v>
      </c>
    </row>
    <row r="104" spans="1:12" s="2" customFormat="1" ht="12.75">
      <c r="A104" s="28" t="s">
        <v>49</v>
      </c>
      <c r="B104" s="22" t="s">
        <v>183</v>
      </c>
      <c r="C104" s="22"/>
      <c r="D104" s="22"/>
      <c r="E104" s="22"/>
      <c r="F104" s="15">
        <f>SUM(F105)</f>
        <v>10000</v>
      </c>
      <c r="G104" s="11"/>
      <c r="H104" s="11"/>
      <c r="I104" s="11"/>
      <c r="J104" s="11"/>
      <c r="K104" s="11"/>
      <c r="L104" s="11"/>
    </row>
    <row r="105" spans="1:6" s="2" customFormat="1" ht="46.5" customHeight="1">
      <c r="A105" s="28" t="s">
        <v>133</v>
      </c>
      <c r="B105" s="22" t="s">
        <v>184</v>
      </c>
      <c r="C105" s="22" t="s">
        <v>40</v>
      </c>
      <c r="D105" s="22" t="s">
        <v>36</v>
      </c>
      <c r="E105" s="22" t="s">
        <v>50</v>
      </c>
      <c r="F105" s="15">
        <v>10000</v>
      </c>
    </row>
    <row r="106" spans="1:6" s="2" customFormat="1" ht="12.75">
      <c r="A106" s="22" t="s">
        <v>45</v>
      </c>
      <c r="B106" s="22" t="s">
        <v>185</v>
      </c>
      <c r="C106" s="22"/>
      <c r="D106" s="22"/>
      <c r="E106" s="22"/>
      <c r="F106" s="15">
        <f>SUM(F107:F109)</f>
        <v>17834207</v>
      </c>
    </row>
    <row r="107" spans="1:6" s="2" customFormat="1" ht="81" customHeight="1">
      <c r="A107" s="29" t="s">
        <v>130</v>
      </c>
      <c r="B107" s="22" t="s">
        <v>186</v>
      </c>
      <c r="C107" s="22" t="s">
        <v>40</v>
      </c>
      <c r="D107" s="22" t="s">
        <v>36</v>
      </c>
      <c r="E107" s="22" t="s">
        <v>47</v>
      </c>
      <c r="F107" s="15">
        <f>12799868+2760+3865661+203875</f>
        <v>16872164</v>
      </c>
    </row>
    <row r="108" spans="1:6" s="2" customFormat="1" ht="51">
      <c r="A108" s="29" t="s">
        <v>132</v>
      </c>
      <c r="B108" s="22" t="s">
        <v>186</v>
      </c>
      <c r="C108" s="22" t="s">
        <v>40</v>
      </c>
      <c r="D108" s="22" t="s">
        <v>36</v>
      </c>
      <c r="E108" s="22" t="s">
        <v>48</v>
      </c>
      <c r="F108" s="15">
        <f>328716+623327</f>
        <v>952043</v>
      </c>
    </row>
    <row r="109" spans="1:6" s="2" customFormat="1" ht="46.5" customHeight="1">
      <c r="A109" s="28" t="s">
        <v>133</v>
      </c>
      <c r="B109" s="22" t="s">
        <v>186</v>
      </c>
      <c r="C109" s="22" t="s">
        <v>40</v>
      </c>
      <c r="D109" s="22" t="s">
        <v>36</v>
      </c>
      <c r="E109" s="22" t="s">
        <v>50</v>
      </c>
      <c r="F109" s="15">
        <v>10000</v>
      </c>
    </row>
    <row r="110" spans="1:6" s="2" customFormat="1" ht="25.5">
      <c r="A110" s="37" t="s">
        <v>401</v>
      </c>
      <c r="B110" s="21" t="s">
        <v>101</v>
      </c>
      <c r="C110" s="22"/>
      <c r="D110" s="22"/>
      <c r="E110" s="22"/>
      <c r="F110" s="17">
        <f>F111+F115</f>
        <v>224571697</v>
      </c>
    </row>
    <row r="111" spans="1:6" s="2" customFormat="1" ht="25.5">
      <c r="A111" s="36" t="s">
        <v>187</v>
      </c>
      <c r="B111" s="22" t="s">
        <v>193</v>
      </c>
      <c r="C111" s="22"/>
      <c r="D111" s="22"/>
      <c r="E111" s="22"/>
      <c r="F111" s="15">
        <f>SUM(F112:F114)</f>
        <v>9440200</v>
      </c>
    </row>
    <row r="112" spans="1:6" s="2" customFormat="1" ht="57" customHeight="1">
      <c r="A112" s="36" t="s">
        <v>309</v>
      </c>
      <c r="B112" s="22" t="s">
        <v>194</v>
      </c>
      <c r="C112" s="22" t="s">
        <v>38</v>
      </c>
      <c r="D112" s="22" t="s">
        <v>34</v>
      </c>
      <c r="E112" s="22" t="s">
        <v>51</v>
      </c>
      <c r="F112" s="15">
        <v>8120500</v>
      </c>
    </row>
    <row r="113" spans="1:6" s="2" customFormat="1" ht="63.75">
      <c r="A113" s="38" t="s">
        <v>360</v>
      </c>
      <c r="B113" s="22" t="s">
        <v>508</v>
      </c>
      <c r="C113" s="22" t="s">
        <v>38</v>
      </c>
      <c r="D113" s="22" t="s">
        <v>34</v>
      </c>
      <c r="E113" s="22" t="s">
        <v>51</v>
      </c>
      <c r="F113" s="15">
        <v>1165700</v>
      </c>
    </row>
    <row r="114" spans="1:6" s="2" customFormat="1" ht="67.5" customHeight="1">
      <c r="A114" s="34" t="s">
        <v>318</v>
      </c>
      <c r="B114" s="22" t="s">
        <v>509</v>
      </c>
      <c r="C114" s="22" t="s">
        <v>38</v>
      </c>
      <c r="D114" s="22" t="s">
        <v>34</v>
      </c>
      <c r="E114" s="22" t="s">
        <v>51</v>
      </c>
      <c r="F114" s="15">
        <v>154000</v>
      </c>
    </row>
    <row r="115" spans="1:6" s="3" customFormat="1" ht="29.25" customHeight="1">
      <c r="A115" s="34" t="s">
        <v>46</v>
      </c>
      <c r="B115" s="22" t="s">
        <v>190</v>
      </c>
      <c r="C115" s="22"/>
      <c r="D115" s="22"/>
      <c r="E115" s="22"/>
      <c r="F115" s="15">
        <f>SUM(F116:F118)</f>
        <v>215131497</v>
      </c>
    </row>
    <row r="116" spans="1:6" s="3" customFormat="1" ht="51.75" customHeight="1">
      <c r="A116" s="34" t="s">
        <v>54</v>
      </c>
      <c r="B116" s="22" t="s">
        <v>191</v>
      </c>
      <c r="C116" s="22" t="s">
        <v>40</v>
      </c>
      <c r="D116" s="22" t="s">
        <v>31</v>
      </c>
      <c r="E116" s="22" t="s">
        <v>52</v>
      </c>
      <c r="F116" s="15">
        <v>144358830</v>
      </c>
    </row>
    <row r="117" spans="1:6" s="2" customFormat="1" ht="51.75" customHeight="1">
      <c r="A117" s="34" t="s">
        <v>102</v>
      </c>
      <c r="B117" s="22" t="s">
        <v>192</v>
      </c>
      <c r="C117" s="22" t="s">
        <v>40</v>
      </c>
      <c r="D117" s="22" t="s">
        <v>31</v>
      </c>
      <c r="E117" s="22" t="s">
        <v>52</v>
      </c>
      <c r="F117" s="15">
        <f>56425037+4667273</f>
        <v>61092310</v>
      </c>
    </row>
    <row r="118" spans="1:6" s="2" customFormat="1" ht="62.25" customHeight="1">
      <c r="A118" s="34" t="s">
        <v>549</v>
      </c>
      <c r="B118" s="22" t="s">
        <v>552</v>
      </c>
      <c r="C118" s="22" t="s">
        <v>40</v>
      </c>
      <c r="D118" s="22" t="s">
        <v>31</v>
      </c>
      <c r="E118" s="22" t="s">
        <v>52</v>
      </c>
      <c r="F118" s="15">
        <v>9680357</v>
      </c>
    </row>
    <row r="119" spans="1:6" s="2" customFormat="1" ht="12.75">
      <c r="A119" s="37" t="s">
        <v>404</v>
      </c>
      <c r="B119" s="21" t="s">
        <v>79</v>
      </c>
      <c r="C119" s="22"/>
      <c r="D119" s="22"/>
      <c r="E119" s="22"/>
      <c r="F119" s="17">
        <f>SUM(F120)</f>
        <v>383100</v>
      </c>
    </row>
    <row r="120" spans="1:6" s="2" customFormat="1" ht="12.75">
      <c r="A120" s="31" t="s">
        <v>23</v>
      </c>
      <c r="B120" s="22" t="s">
        <v>125</v>
      </c>
      <c r="C120" s="22"/>
      <c r="D120" s="22"/>
      <c r="E120" s="22"/>
      <c r="F120" s="15">
        <f>F121+F122</f>
        <v>383100</v>
      </c>
    </row>
    <row r="121" spans="1:6" s="2" customFormat="1" ht="38.25">
      <c r="A121" s="31" t="s">
        <v>405</v>
      </c>
      <c r="B121" s="22" t="s">
        <v>361</v>
      </c>
      <c r="C121" s="22" t="s">
        <v>40</v>
      </c>
      <c r="D121" s="22" t="s">
        <v>40</v>
      </c>
      <c r="E121" s="22" t="s">
        <v>52</v>
      </c>
      <c r="F121" s="15">
        <f>252200-5100</f>
        <v>247100</v>
      </c>
    </row>
    <row r="122" spans="1:6" s="3" customFormat="1" ht="26.25" customHeight="1">
      <c r="A122" s="28" t="s">
        <v>140</v>
      </c>
      <c r="B122" s="22" t="s">
        <v>354</v>
      </c>
      <c r="C122" s="22" t="s">
        <v>40</v>
      </c>
      <c r="D122" s="22" t="s">
        <v>40</v>
      </c>
      <c r="E122" s="22" t="s">
        <v>48</v>
      </c>
      <c r="F122" s="15">
        <v>136000</v>
      </c>
    </row>
    <row r="123" spans="1:6" s="2" customFormat="1" ht="38.25" customHeight="1">
      <c r="A123" s="30" t="s">
        <v>406</v>
      </c>
      <c r="B123" s="21" t="s">
        <v>76</v>
      </c>
      <c r="C123" s="22"/>
      <c r="D123" s="22"/>
      <c r="E123" s="22"/>
      <c r="F123" s="17">
        <f>F124</f>
        <v>0</v>
      </c>
    </row>
    <row r="124" spans="1:6" s="2" customFormat="1" ht="33" customHeight="1">
      <c r="A124" s="28" t="s">
        <v>75</v>
      </c>
      <c r="B124" s="22" t="s">
        <v>77</v>
      </c>
      <c r="C124" s="22"/>
      <c r="D124" s="22"/>
      <c r="E124" s="22"/>
      <c r="F124" s="15">
        <f>F125</f>
        <v>0</v>
      </c>
    </row>
    <row r="125" spans="1:6" s="2" customFormat="1" ht="27.75" customHeight="1">
      <c r="A125" s="28" t="s">
        <v>407</v>
      </c>
      <c r="B125" s="22" t="s">
        <v>78</v>
      </c>
      <c r="C125" s="22" t="s">
        <v>34</v>
      </c>
      <c r="D125" s="22" t="s">
        <v>41</v>
      </c>
      <c r="E125" s="22" t="s">
        <v>50</v>
      </c>
      <c r="F125" s="15">
        <f>150000-150000</f>
        <v>0</v>
      </c>
    </row>
    <row r="126" spans="1:13" s="2" customFormat="1" ht="28.5" customHeight="1">
      <c r="A126" s="37" t="s">
        <v>408</v>
      </c>
      <c r="B126" s="21" t="s">
        <v>72</v>
      </c>
      <c r="C126" s="22"/>
      <c r="D126" s="22"/>
      <c r="E126" s="22"/>
      <c r="F126" s="17">
        <f>F127+F129</f>
        <v>7770412.25</v>
      </c>
      <c r="G126" s="6"/>
      <c r="H126" s="6"/>
      <c r="I126" s="6"/>
      <c r="J126" s="7"/>
      <c r="K126" s="8"/>
      <c r="L126" s="12"/>
      <c r="M126" s="11"/>
    </row>
    <row r="127" spans="1:13" s="2" customFormat="1" ht="30.75" customHeight="1">
      <c r="A127" s="31" t="s">
        <v>46</v>
      </c>
      <c r="B127" s="22" t="s">
        <v>73</v>
      </c>
      <c r="C127" s="22"/>
      <c r="D127" s="22"/>
      <c r="E127" s="22"/>
      <c r="F127" s="15">
        <f>SUM(F128)</f>
        <v>7375876</v>
      </c>
      <c r="G127" s="6"/>
      <c r="H127" s="6"/>
      <c r="I127" s="6"/>
      <c r="J127" s="6"/>
      <c r="K127" s="7"/>
      <c r="L127" s="8"/>
      <c r="M127" s="9"/>
    </row>
    <row r="128" spans="1:13" s="2" customFormat="1" ht="41.25" customHeight="1">
      <c r="A128" s="34" t="s">
        <v>310</v>
      </c>
      <c r="B128" s="22" t="s">
        <v>74</v>
      </c>
      <c r="C128" s="22" t="s">
        <v>31</v>
      </c>
      <c r="D128" s="22" t="s">
        <v>43</v>
      </c>
      <c r="E128" s="22" t="s">
        <v>52</v>
      </c>
      <c r="F128" s="15">
        <f>7114801+261075</f>
        <v>7375876</v>
      </c>
      <c r="G128" s="11"/>
      <c r="H128" s="11"/>
      <c r="I128" s="11"/>
      <c r="J128" s="11"/>
      <c r="K128" s="11"/>
      <c r="L128" s="11"/>
      <c r="M128" s="11"/>
    </row>
    <row r="129" spans="1:13" s="2" customFormat="1" ht="15.75" customHeight="1">
      <c r="A129" s="34" t="s">
        <v>100</v>
      </c>
      <c r="B129" s="22" t="s">
        <v>524</v>
      </c>
      <c r="C129" s="22"/>
      <c r="D129" s="22"/>
      <c r="E129" s="22"/>
      <c r="F129" s="15">
        <f>F130</f>
        <v>394536.25</v>
      </c>
      <c r="G129" s="11"/>
      <c r="H129" s="11"/>
      <c r="I129" s="11"/>
      <c r="J129" s="11"/>
      <c r="K129" s="11"/>
      <c r="L129" s="11"/>
      <c r="M129" s="11"/>
    </row>
    <row r="130" spans="1:13" s="2" customFormat="1" ht="41.25" customHeight="1">
      <c r="A130" s="34" t="s">
        <v>310</v>
      </c>
      <c r="B130" s="22" t="s">
        <v>525</v>
      </c>
      <c r="C130" s="22" t="s">
        <v>31</v>
      </c>
      <c r="D130" s="22" t="s">
        <v>43</v>
      </c>
      <c r="E130" s="22" t="s">
        <v>52</v>
      </c>
      <c r="F130" s="15">
        <f>125737+200917.25+67882</f>
        <v>394536.25</v>
      </c>
      <c r="G130" s="11"/>
      <c r="H130" s="11"/>
      <c r="I130" s="11"/>
      <c r="J130" s="11"/>
      <c r="K130" s="11"/>
      <c r="L130" s="11"/>
      <c r="M130" s="11"/>
    </row>
    <row r="131" spans="1:6" s="2" customFormat="1" ht="39.75" customHeight="1">
      <c r="A131" s="30" t="s">
        <v>409</v>
      </c>
      <c r="B131" s="21" t="s">
        <v>195</v>
      </c>
      <c r="C131" s="22"/>
      <c r="D131" s="22"/>
      <c r="E131" s="22"/>
      <c r="F131" s="17">
        <f>F132+F134</f>
        <v>7339051.880000001</v>
      </c>
    </row>
    <row r="132" spans="1:6" s="2" customFormat="1" ht="19.5" customHeight="1">
      <c r="A132" s="28" t="s">
        <v>49</v>
      </c>
      <c r="B132" s="22" t="s">
        <v>196</v>
      </c>
      <c r="C132" s="22"/>
      <c r="D132" s="22"/>
      <c r="E132" s="22"/>
      <c r="F132" s="15">
        <f>SUM(F133)</f>
        <v>19401</v>
      </c>
    </row>
    <row r="133" spans="1:6" s="2" customFormat="1" ht="20.25" customHeight="1">
      <c r="A133" s="28" t="s">
        <v>21</v>
      </c>
      <c r="B133" s="22" t="s">
        <v>197</v>
      </c>
      <c r="C133" s="22" t="s">
        <v>32</v>
      </c>
      <c r="D133" s="22" t="s">
        <v>36</v>
      </c>
      <c r="E133" s="22" t="s">
        <v>50</v>
      </c>
      <c r="F133" s="15">
        <v>19401</v>
      </c>
    </row>
    <row r="134" spans="1:6" s="2" customFormat="1" ht="22.5" customHeight="1">
      <c r="A134" s="31" t="s">
        <v>45</v>
      </c>
      <c r="B134" s="22" t="s">
        <v>198</v>
      </c>
      <c r="C134" s="22"/>
      <c r="D134" s="22"/>
      <c r="E134" s="22"/>
      <c r="F134" s="15">
        <f>SUM(F135:F137)</f>
        <v>7319650.880000001</v>
      </c>
    </row>
    <row r="135" spans="1:6" s="2" customFormat="1" ht="53.25" customHeight="1">
      <c r="A135" s="28" t="s">
        <v>129</v>
      </c>
      <c r="B135" s="22" t="s">
        <v>199</v>
      </c>
      <c r="C135" s="22" t="s">
        <v>32</v>
      </c>
      <c r="D135" s="22" t="s">
        <v>36</v>
      </c>
      <c r="E135" s="22" t="s">
        <v>47</v>
      </c>
      <c r="F135" s="15">
        <f>4735881.85+7098.4+1426935.03+30000</f>
        <v>6199915.28</v>
      </c>
    </row>
    <row r="136" spans="1:6" s="2" customFormat="1" ht="25.5">
      <c r="A136" s="28" t="s">
        <v>25</v>
      </c>
      <c r="B136" s="22" t="s">
        <v>199</v>
      </c>
      <c r="C136" s="22" t="s">
        <v>32</v>
      </c>
      <c r="D136" s="22" t="s">
        <v>36</v>
      </c>
      <c r="E136" s="22" t="s">
        <v>48</v>
      </c>
      <c r="F136" s="15">
        <f>269093.5+839642.1</f>
        <v>1108735.6</v>
      </c>
    </row>
    <row r="137" spans="1:6" s="2" customFormat="1" ht="12.75">
      <c r="A137" s="28" t="s">
        <v>21</v>
      </c>
      <c r="B137" s="22" t="s">
        <v>199</v>
      </c>
      <c r="C137" s="22" t="s">
        <v>32</v>
      </c>
      <c r="D137" s="22" t="s">
        <v>36</v>
      </c>
      <c r="E137" s="22" t="s">
        <v>50</v>
      </c>
      <c r="F137" s="15">
        <v>11000</v>
      </c>
    </row>
    <row r="138" spans="1:6" s="2" customFormat="1" ht="12.75">
      <c r="A138" s="37" t="s">
        <v>411</v>
      </c>
      <c r="B138" s="21" t="s">
        <v>118</v>
      </c>
      <c r="C138" s="22"/>
      <c r="D138" s="22"/>
      <c r="E138" s="22"/>
      <c r="F138" s="17">
        <f>SUM(F139+F142+F144+F159)</f>
        <v>88780420</v>
      </c>
    </row>
    <row r="139" spans="1:6" s="2" customFormat="1" ht="16.5" customHeight="1">
      <c r="A139" s="28" t="s">
        <v>59</v>
      </c>
      <c r="B139" s="22" t="s">
        <v>203</v>
      </c>
      <c r="C139" s="22"/>
      <c r="D139" s="22"/>
      <c r="E139" s="22"/>
      <c r="F139" s="15">
        <f>SUM(F140:F141)</f>
        <v>1330600</v>
      </c>
    </row>
    <row r="140" spans="1:6" s="2" customFormat="1" ht="43.5" customHeight="1">
      <c r="A140" s="29" t="s">
        <v>313</v>
      </c>
      <c r="B140" s="22" t="s">
        <v>204</v>
      </c>
      <c r="C140" s="22" t="s">
        <v>38</v>
      </c>
      <c r="D140" s="22" t="s">
        <v>35</v>
      </c>
      <c r="E140" s="22" t="s">
        <v>47</v>
      </c>
      <c r="F140" s="15">
        <f>921200+278600</f>
        <v>1199800</v>
      </c>
    </row>
    <row r="141" spans="1:6" s="2" customFormat="1" ht="26.45" customHeight="1">
      <c r="A141" s="28" t="s">
        <v>138</v>
      </c>
      <c r="B141" s="22" t="s">
        <v>204</v>
      </c>
      <c r="C141" s="22" t="s">
        <v>38</v>
      </c>
      <c r="D141" s="22" t="s">
        <v>35</v>
      </c>
      <c r="E141" s="22" t="s">
        <v>48</v>
      </c>
      <c r="F141" s="15">
        <f>60000+70800</f>
        <v>130800</v>
      </c>
    </row>
    <row r="142" spans="1:6" s="2" customFormat="1" ht="13.15" customHeight="1">
      <c r="A142" s="31" t="s">
        <v>89</v>
      </c>
      <c r="B142" s="22" t="s">
        <v>205</v>
      </c>
      <c r="C142" s="22"/>
      <c r="D142" s="22"/>
      <c r="E142" s="22"/>
      <c r="F142" s="15">
        <f>SUM(F143)</f>
        <v>6913550</v>
      </c>
    </row>
    <row r="143" spans="1:6" s="2" customFormat="1" ht="56.25" customHeight="1">
      <c r="A143" s="36" t="s">
        <v>2</v>
      </c>
      <c r="B143" s="22" t="s">
        <v>206</v>
      </c>
      <c r="C143" s="22" t="s">
        <v>38</v>
      </c>
      <c r="D143" s="22" t="s">
        <v>34</v>
      </c>
      <c r="E143" s="22" t="s">
        <v>51</v>
      </c>
      <c r="F143" s="15">
        <v>6913550</v>
      </c>
    </row>
    <row r="144" spans="1:6" s="2" customFormat="1" ht="15" customHeight="1">
      <c r="A144" s="28" t="s">
        <v>117</v>
      </c>
      <c r="B144" s="22" t="s">
        <v>119</v>
      </c>
      <c r="C144" s="22"/>
      <c r="D144" s="22"/>
      <c r="E144" s="22"/>
      <c r="F144" s="15">
        <f>SUM(F145:F158)</f>
        <v>55471900</v>
      </c>
    </row>
    <row r="145" spans="1:6" s="2" customFormat="1" ht="46.5" customHeight="1">
      <c r="A145" s="36" t="s">
        <v>471</v>
      </c>
      <c r="B145" s="22" t="s">
        <v>473</v>
      </c>
      <c r="C145" s="22" t="s">
        <v>38</v>
      </c>
      <c r="D145" s="22" t="s">
        <v>34</v>
      </c>
      <c r="E145" s="22" t="s">
        <v>48</v>
      </c>
      <c r="F145" s="15">
        <v>11161.41</v>
      </c>
    </row>
    <row r="146" spans="1:6" s="3" customFormat="1" ht="42.75" customHeight="1">
      <c r="A146" s="31" t="s">
        <v>472</v>
      </c>
      <c r="B146" s="22" t="s">
        <v>473</v>
      </c>
      <c r="C146" s="22" t="s">
        <v>38</v>
      </c>
      <c r="D146" s="22" t="s">
        <v>34</v>
      </c>
      <c r="E146" s="22" t="s">
        <v>51</v>
      </c>
      <c r="F146" s="15">
        <v>9974638.59</v>
      </c>
    </row>
    <row r="147" spans="1:6" s="3" customFormat="1" ht="42.75" customHeight="1">
      <c r="A147" s="31" t="s">
        <v>533</v>
      </c>
      <c r="B147" s="22" t="s">
        <v>532</v>
      </c>
      <c r="C147" s="22" t="s">
        <v>38</v>
      </c>
      <c r="D147" s="22" t="s">
        <v>34</v>
      </c>
      <c r="E147" s="22" t="s">
        <v>48</v>
      </c>
      <c r="F147" s="15">
        <v>176700</v>
      </c>
    </row>
    <row r="148" spans="1:6" s="3" customFormat="1" ht="45" customHeight="1">
      <c r="A148" s="31" t="s">
        <v>420</v>
      </c>
      <c r="B148" s="22" t="s">
        <v>462</v>
      </c>
      <c r="C148" s="22" t="s">
        <v>38</v>
      </c>
      <c r="D148" s="22" t="s">
        <v>34</v>
      </c>
      <c r="E148" s="22" t="s">
        <v>48</v>
      </c>
      <c r="F148" s="15">
        <v>131700</v>
      </c>
    </row>
    <row r="149" spans="1:6" s="3" customFormat="1" ht="30.75" customHeight="1">
      <c r="A149" s="31" t="s">
        <v>3</v>
      </c>
      <c r="B149" s="22" t="s">
        <v>462</v>
      </c>
      <c r="C149" s="22" t="s">
        <v>38</v>
      </c>
      <c r="D149" s="22" t="s">
        <v>34</v>
      </c>
      <c r="E149" s="22" t="s">
        <v>51</v>
      </c>
      <c r="F149" s="15">
        <v>10193300</v>
      </c>
    </row>
    <row r="150" spans="1:6" s="3" customFormat="1" ht="44.25" customHeight="1">
      <c r="A150" s="31" t="s">
        <v>421</v>
      </c>
      <c r="B150" s="22" t="s">
        <v>463</v>
      </c>
      <c r="C150" s="22" t="s">
        <v>38</v>
      </c>
      <c r="D150" s="22" t="s">
        <v>34</v>
      </c>
      <c r="E150" s="22" t="s">
        <v>48</v>
      </c>
      <c r="F150" s="15">
        <v>20000</v>
      </c>
    </row>
    <row r="151" spans="1:6" s="3" customFormat="1" ht="48" customHeight="1">
      <c r="A151" s="31" t="s">
        <v>4</v>
      </c>
      <c r="B151" s="22" t="s">
        <v>463</v>
      </c>
      <c r="C151" s="22" t="s">
        <v>38</v>
      </c>
      <c r="D151" s="22" t="s">
        <v>34</v>
      </c>
      <c r="E151" s="22" t="s">
        <v>51</v>
      </c>
      <c r="F151" s="15">
        <v>1332500</v>
      </c>
    </row>
    <row r="152" spans="1:6" s="3" customFormat="1" ht="84.75" customHeight="1">
      <c r="A152" s="36" t="s">
        <v>410</v>
      </c>
      <c r="B152" s="22" t="s">
        <v>202</v>
      </c>
      <c r="C152" s="22" t="s">
        <v>38</v>
      </c>
      <c r="D152" s="22" t="s">
        <v>34</v>
      </c>
      <c r="E152" s="22" t="s">
        <v>48</v>
      </c>
      <c r="F152" s="15">
        <v>155000</v>
      </c>
    </row>
    <row r="153" spans="1:6" s="2" customFormat="1" ht="71.25" customHeight="1">
      <c r="A153" s="36" t="s">
        <v>5</v>
      </c>
      <c r="B153" s="22" t="s">
        <v>202</v>
      </c>
      <c r="C153" s="22" t="s">
        <v>38</v>
      </c>
      <c r="D153" s="22" t="s">
        <v>34</v>
      </c>
      <c r="E153" s="22" t="s">
        <v>51</v>
      </c>
      <c r="F153" s="15">
        <f>9987700+1816400</f>
        <v>11804100</v>
      </c>
    </row>
    <row r="154" spans="1:6" s="2" customFormat="1" ht="57.75" customHeight="1">
      <c r="A154" s="36" t="s">
        <v>422</v>
      </c>
      <c r="B154" s="22" t="s">
        <v>464</v>
      </c>
      <c r="C154" s="22" t="s">
        <v>38</v>
      </c>
      <c r="D154" s="22" t="s">
        <v>34</v>
      </c>
      <c r="E154" s="22" t="s">
        <v>48</v>
      </c>
      <c r="F154" s="15">
        <v>31350</v>
      </c>
    </row>
    <row r="155" spans="1:6" s="2" customFormat="1" ht="53.25" customHeight="1">
      <c r="A155" s="36" t="s">
        <v>6</v>
      </c>
      <c r="B155" s="22" t="s">
        <v>464</v>
      </c>
      <c r="C155" s="22" t="s">
        <v>38</v>
      </c>
      <c r="D155" s="22" t="s">
        <v>34</v>
      </c>
      <c r="E155" s="22" t="s">
        <v>51</v>
      </c>
      <c r="F155" s="15">
        <v>2675250</v>
      </c>
    </row>
    <row r="156" spans="1:6" s="2" customFormat="1" ht="97.5" customHeight="1">
      <c r="A156" s="36" t="s">
        <v>7</v>
      </c>
      <c r="B156" s="22" t="s">
        <v>468</v>
      </c>
      <c r="C156" s="22" t="s">
        <v>38</v>
      </c>
      <c r="D156" s="22" t="s">
        <v>34</v>
      </c>
      <c r="E156" s="22" t="s">
        <v>51</v>
      </c>
      <c r="F156" s="15">
        <v>18546200</v>
      </c>
    </row>
    <row r="157" spans="1:6" s="5" customFormat="1" ht="25.5">
      <c r="A157" s="28" t="s">
        <v>141</v>
      </c>
      <c r="B157" s="22" t="s">
        <v>120</v>
      </c>
      <c r="C157" s="22" t="s">
        <v>38</v>
      </c>
      <c r="D157" s="22" t="s">
        <v>35</v>
      </c>
      <c r="E157" s="22" t="s">
        <v>48</v>
      </c>
      <c r="F157" s="15">
        <v>380000</v>
      </c>
    </row>
    <row r="158" spans="1:6" s="2" customFormat="1" ht="25.5">
      <c r="A158" s="31" t="s">
        <v>9</v>
      </c>
      <c r="B158" s="22" t="s">
        <v>120</v>
      </c>
      <c r="C158" s="22" t="s">
        <v>38</v>
      </c>
      <c r="D158" s="22" t="s">
        <v>35</v>
      </c>
      <c r="E158" s="22" t="s">
        <v>51</v>
      </c>
      <c r="F158" s="15">
        <v>40000</v>
      </c>
    </row>
    <row r="159" spans="1:6" s="2" customFormat="1" ht="21" customHeight="1">
      <c r="A159" s="22" t="s">
        <v>45</v>
      </c>
      <c r="B159" s="22" t="s">
        <v>200</v>
      </c>
      <c r="C159" s="22"/>
      <c r="D159" s="22"/>
      <c r="E159" s="22"/>
      <c r="F159" s="15">
        <f>SUM(F160:F162)</f>
        <v>25064370</v>
      </c>
    </row>
    <row r="160" spans="1:6" s="2" customFormat="1" ht="73.5" customHeight="1">
      <c r="A160" s="29" t="s">
        <v>311</v>
      </c>
      <c r="B160" s="22" t="s">
        <v>201</v>
      </c>
      <c r="C160" s="22" t="s">
        <v>38</v>
      </c>
      <c r="D160" s="22" t="s">
        <v>34</v>
      </c>
      <c r="E160" s="22" t="s">
        <v>47</v>
      </c>
      <c r="F160" s="15">
        <f>14054400+2760+4247130</f>
        <v>18304290</v>
      </c>
    </row>
    <row r="161" spans="1:6" s="2" customFormat="1" ht="51">
      <c r="A161" s="28" t="s">
        <v>312</v>
      </c>
      <c r="B161" s="22" t="s">
        <v>201</v>
      </c>
      <c r="C161" s="22" t="s">
        <v>38</v>
      </c>
      <c r="D161" s="22" t="s">
        <v>34</v>
      </c>
      <c r="E161" s="22" t="s">
        <v>48</v>
      </c>
      <c r="F161" s="15">
        <f>518018.41+5317312.66</f>
        <v>5835331.07</v>
      </c>
    </row>
    <row r="162" spans="1:6" s="2" customFormat="1" ht="38.25">
      <c r="A162" s="28" t="s">
        <v>15</v>
      </c>
      <c r="B162" s="22" t="s">
        <v>201</v>
      </c>
      <c r="C162" s="22" t="s">
        <v>38</v>
      </c>
      <c r="D162" s="22" t="s">
        <v>34</v>
      </c>
      <c r="E162" s="22" t="s">
        <v>50</v>
      </c>
      <c r="F162" s="15">
        <f>901880+20000+2868.93</f>
        <v>924748.93</v>
      </c>
    </row>
    <row r="163" spans="1:6" s="2" customFormat="1" ht="25.5">
      <c r="A163" s="30" t="s">
        <v>412</v>
      </c>
      <c r="B163" s="21" t="s">
        <v>116</v>
      </c>
      <c r="C163" s="22"/>
      <c r="D163" s="22"/>
      <c r="E163" s="22"/>
      <c r="F163" s="17">
        <f>SUM(F164+F172+F174+F176+F210+F212)</f>
        <v>163294528</v>
      </c>
    </row>
    <row r="164" spans="1:6" s="2" customFormat="1" ht="12.75">
      <c r="A164" s="28" t="s">
        <v>59</v>
      </c>
      <c r="B164" s="22" t="s">
        <v>225</v>
      </c>
      <c r="C164" s="22"/>
      <c r="D164" s="22"/>
      <c r="E164" s="22"/>
      <c r="F164" s="15">
        <f>SUM(F165:F171)</f>
        <v>12564370</v>
      </c>
    </row>
    <row r="165" spans="1:6" s="2" customFormat="1" ht="51">
      <c r="A165" s="29" t="s">
        <v>126</v>
      </c>
      <c r="B165" s="22" t="s">
        <v>226</v>
      </c>
      <c r="C165" s="22" t="s">
        <v>38</v>
      </c>
      <c r="D165" s="22" t="s">
        <v>35</v>
      </c>
      <c r="E165" s="22" t="s">
        <v>47</v>
      </c>
      <c r="F165" s="15">
        <f>6173210.16+414.84+1148275</f>
        <v>7321900</v>
      </c>
    </row>
    <row r="166" spans="1:6" s="2" customFormat="1" ht="38.25">
      <c r="A166" s="28" t="s">
        <v>143</v>
      </c>
      <c r="B166" s="22" t="s">
        <v>226</v>
      </c>
      <c r="C166" s="22" t="s">
        <v>38</v>
      </c>
      <c r="D166" s="22" t="s">
        <v>35</v>
      </c>
      <c r="E166" s="22" t="s">
        <v>48</v>
      </c>
      <c r="F166" s="15">
        <f>705000+657300</f>
        <v>1362300</v>
      </c>
    </row>
    <row r="167" spans="1:6" s="2" customFormat="1" ht="25.5">
      <c r="A167" s="28" t="s">
        <v>16</v>
      </c>
      <c r="B167" s="22" t="s">
        <v>226</v>
      </c>
      <c r="C167" s="22" t="s">
        <v>38</v>
      </c>
      <c r="D167" s="22" t="s">
        <v>35</v>
      </c>
      <c r="E167" s="22" t="s">
        <v>50</v>
      </c>
      <c r="F167" s="15">
        <v>5000</v>
      </c>
    </row>
    <row r="168" spans="1:6" s="2" customFormat="1" ht="63.75">
      <c r="A168" s="29" t="s">
        <v>64</v>
      </c>
      <c r="B168" s="22" t="s">
        <v>227</v>
      </c>
      <c r="C168" s="22" t="s">
        <v>38</v>
      </c>
      <c r="D168" s="22" t="s">
        <v>35</v>
      </c>
      <c r="E168" s="22" t="s">
        <v>47</v>
      </c>
      <c r="F168" s="15">
        <f>1015300+141270</f>
        <v>1156570</v>
      </c>
    </row>
    <row r="169" spans="1:6" s="2" customFormat="1" ht="51">
      <c r="A169" s="29" t="s">
        <v>301</v>
      </c>
      <c r="B169" s="22" t="s">
        <v>228</v>
      </c>
      <c r="C169" s="22" t="s">
        <v>38</v>
      </c>
      <c r="D169" s="22" t="s">
        <v>35</v>
      </c>
      <c r="E169" s="22" t="s">
        <v>47</v>
      </c>
      <c r="F169" s="15">
        <f>1116550+334450</f>
        <v>1451000</v>
      </c>
    </row>
    <row r="170" spans="1:6" s="2" customFormat="1" ht="30.75" customHeight="1">
      <c r="A170" s="28" t="s">
        <v>144</v>
      </c>
      <c r="B170" s="22" t="s">
        <v>228</v>
      </c>
      <c r="C170" s="22" t="s">
        <v>38</v>
      </c>
      <c r="D170" s="22" t="s">
        <v>35</v>
      </c>
      <c r="E170" s="22" t="s">
        <v>48</v>
      </c>
      <c r="F170" s="15">
        <f>96000+171600</f>
        <v>267600</v>
      </c>
    </row>
    <row r="171" spans="1:6" s="2" customFormat="1" ht="86.25" customHeight="1">
      <c r="A171" s="29" t="s">
        <v>414</v>
      </c>
      <c r="B171" s="22" t="s">
        <v>413</v>
      </c>
      <c r="C171" s="22" t="s">
        <v>38</v>
      </c>
      <c r="D171" s="22" t="s">
        <v>35</v>
      </c>
      <c r="E171" s="22" t="s">
        <v>47</v>
      </c>
      <c r="F171" s="15">
        <v>1000000</v>
      </c>
    </row>
    <row r="172" spans="1:6" s="2" customFormat="1" ht="12.75">
      <c r="A172" s="34" t="s">
        <v>23</v>
      </c>
      <c r="B172" s="22" t="s">
        <v>229</v>
      </c>
      <c r="C172" s="22"/>
      <c r="D172" s="22"/>
      <c r="E172" s="22"/>
      <c r="F172" s="15">
        <f>SUM(F173)</f>
        <v>147500</v>
      </c>
    </row>
    <row r="173" spans="1:6" s="2" customFormat="1" ht="31.5" customHeight="1">
      <c r="A173" s="28" t="s">
        <v>302</v>
      </c>
      <c r="B173" s="22" t="s">
        <v>230</v>
      </c>
      <c r="C173" s="22" t="s">
        <v>38</v>
      </c>
      <c r="D173" s="22" t="s">
        <v>35</v>
      </c>
      <c r="E173" s="22" t="s">
        <v>48</v>
      </c>
      <c r="F173" s="15">
        <v>147500</v>
      </c>
    </row>
    <row r="174" spans="1:6" s="2" customFormat="1" ht="27.75" customHeight="1">
      <c r="A174" s="34" t="s">
        <v>46</v>
      </c>
      <c r="B174" s="22" t="s">
        <v>207</v>
      </c>
      <c r="C174" s="22"/>
      <c r="D174" s="22"/>
      <c r="E174" s="22"/>
      <c r="F174" s="15">
        <f>SUM(F175)</f>
        <v>16331780</v>
      </c>
    </row>
    <row r="175" spans="1:6" s="2" customFormat="1" ht="41.25" customHeight="1">
      <c r="A175" s="28" t="s">
        <v>137</v>
      </c>
      <c r="B175" s="22" t="s">
        <v>208</v>
      </c>
      <c r="C175" s="22" t="s">
        <v>38</v>
      </c>
      <c r="D175" s="22" t="s">
        <v>33</v>
      </c>
      <c r="E175" s="22" t="s">
        <v>52</v>
      </c>
      <c r="F175" s="15">
        <v>16331780</v>
      </c>
    </row>
    <row r="176" spans="1:6" s="2" customFormat="1" ht="12.75">
      <c r="A176" s="28" t="s">
        <v>117</v>
      </c>
      <c r="B176" s="22" t="s">
        <v>209</v>
      </c>
      <c r="C176" s="22"/>
      <c r="D176" s="22"/>
      <c r="E176" s="22"/>
      <c r="F176" s="15">
        <f>SUM(F177:F209)</f>
        <v>127795878</v>
      </c>
    </row>
    <row r="177" spans="1:6" s="2" customFormat="1" ht="38.25">
      <c r="A177" s="31" t="s">
        <v>415</v>
      </c>
      <c r="B177" s="22" t="s">
        <v>210</v>
      </c>
      <c r="C177" s="22" t="s">
        <v>38</v>
      </c>
      <c r="D177" s="22" t="s">
        <v>32</v>
      </c>
      <c r="E177" s="22" t="s">
        <v>48</v>
      </c>
      <c r="F177" s="15">
        <v>628000</v>
      </c>
    </row>
    <row r="178" spans="1:6" s="2" customFormat="1" ht="43.5" customHeight="1">
      <c r="A178" s="31" t="s">
        <v>146</v>
      </c>
      <c r="B178" s="22" t="s">
        <v>210</v>
      </c>
      <c r="C178" s="22" t="s">
        <v>38</v>
      </c>
      <c r="D178" s="22" t="s">
        <v>32</v>
      </c>
      <c r="E178" s="22" t="s">
        <v>51</v>
      </c>
      <c r="F178" s="15">
        <v>40944700</v>
      </c>
    </row>
    <row r="179" spans="1:6" s="2" customFormat="1" ht="42" customHeight="1">
      <c r="A179" s="31" t="s">
        <v>416</v>
      </c>
      <c r="B179" s="22" t="s">
        <v>211</v>
      </c>
      <c r="C179" s="22" t="s">
        <v>38</v>
      </c>
      <c r="D179" s="22" t="s">
        <v>32</v>
      </c>
      <c r="E179" s="22" t="s">
        <v>48</v>
      </c>
      <c r="F179" s="15">
        <v>31500</v>
      </c>
    </row>
    <row r="180" spans="1:6" s="2" customFormat="1" ht="41.25" customHeight="1">
      <c r="A180" s="31" t="s">
        <v>147</v>
      </c>
      <c r="B180" s="22" t="s">
        <v>211</v>
      </c>
      <c r="C180" s="22" t="s">
        <v>38</v>
      </c>
      <c r="D180" s="22" t="s">
        <v>32</v>
      </c>
      <c r="E180" s="22" t="s">
        <v>51</v>
      </c>
      <c r="F180" s="15">
        <v>1954500</v>
      </c>
    </row>
    <row r="181" spans="1:6" s="2" customFormat="1" ht="41.25" customHeight="1">
      <c r="A181" s="31" t="s">
        <v>417</v>
      </c>
      <c r="B181" s="22" t="s">
        <v>212</v>
      </c>
      <c r="C181" s="22" t="s">
        <v>38</v>
      </c>
      <c r="D181" s="22" t="s">
        <v>32</v>
      </c>
      <c r="E181" s="22" t="s">
        <v>48</v>
      </c>
      <c r="F181" s="15">
        <v>430000</v>
      </c>
    </row>
    <row r="182" spans="1:6" s="2" customFormat="1" ht="38.25">
      <c r="A182" s="31" t="s">
        <v>148</v>
      </c>
      <c r="B182" s="22" t="s">
        <v>212</v>
      </c>
      <c r="C182" s="22" t="s">
        <v>38</v>
      </c>
      <c r="D182" s="22" t="s">
        <v>32</v>
      </c>
      <c r="E182" s="22" t="s">
        <v>51</v>
      </c>
      <c r="F182" s="15">
        <v>26785500</v>
      </c>
    </row>
    <row r="183" spans="1:6" s="2" customFormat="1" ht="55.5" customHeight="1">
      <c r="A183" s="36" t="s">
        <v>418</v>
      </c>
      <c r="B183" s="22" t="s">
        <v>213</v>
      </c>
      <c r="C183" s="22" t="s">
        <v>38</v>
      </c>
      <c r="D183" s="22" t="s">
        <v>32</v>
      </c>
      <c r="E183" s="22" t="s">
        <v>48</v>
      </c>
      <c r="F183" s="15">
        <v>2800</v>
      </c>
    </row>
    <row r="184" spans="1:6" s="2" customFormat="1" ht="51">
      <c r="A184" s="31" t="s">
        <v>0</v>
      </c>
      <c r="B184" s="22" t="s">
        <v>213</v>
      </c>
      <c r="C184" s="22" t="s">
        <v>38</v>
      </c>
      <c r="D184" s="22" t="s">
        <v>32</v>
      </c>
      <c r="E184" s="22" t="s">
        <v>51</v>
      </c>
      <c r="F184" s="15">
        <v>163400</v>
      </c>
    </row>
    <row r="185" spans="1:6" s="2" customFormat="1" ht="51">
      <c r="A185" s="31" t="s">
        <v>419</v>
      </c>
      <c r="B185" s="22" t="s">
        <v>214</v>
      </c>
      <c r="C185" s="22" t="s">
        <v>38</v>
      </c>
      <c r="D185" s="22" t="s">
        <v>32</v>
      </c>
      <c r="E185" s="22" t="s">
        <v>48</v>
      </c>
      <c r="F185" s="15">
        <v>600</v>
      </c>
    </row>
    <row r="186" spans="1:6" s="2" customFormat="1" ht="42" customHeight="1">
      <c r="A186" s="31" t="s">
        <v>1</v>
      </c>
      <c r="B186" s="22" t="s">
        <v>214</v>
      </c>
      <c r="C186" s="22" t="s">
        <v>38</v>
      </c>
      <c r="D186" s="22" t="s">
        <v>32</v>
      </c>
      <c r="E186" s="22" t="s">
        <v>51</v>
      </c>
      <c r="F186" s="15">
        <v>22400</v>
      </c>
    </row>
    <row r="187" spans="1:6" s="4" customFormat="1" ht="67.5" customHeight="1">
      <c r="A187" s="29" t="s">
        <v>294</v>
      </c>
      <c r="B187" s="22" t="s">
        <v>215</v>
      </c>
      <c r="C187" s="22" t="s">
        <v>38</v>
      </c>
      <c r="D187" s="22" t="s">
        <v>32</v>
      </c>
      <c r="E187" s="22" t="s">
        <v>48</v>
      </c>
      <c r="F187" s="15">
        <v>100000</v>
      </c>
    </row>
    <row r="188" spans="1:6" s="2" customFormat="1" ht="54" customHeight="1">
      <c r="A188" s="36" t="s">
        <v>295</v>
      </c>
      <c r="B188" s="22" t="s">
        <v>215</v>
      </c>
      <c r="C188" s="22" t="s">
        <v>38</v>
      </c>
      <c r="D188" s="22" t="s">
        <v>32</v>
      </c>
      <c r="E188" s="22" t="s">
        <v>51</v>
      </c>
      <c r="F188" s="15">
        <v>2932400</v>
      </c>
    </row>
    <row r="189" spans="1:6" s="3" customFormat="1" ht="37.15" customHeight="1">
      <c r="A189" s="31" t="s">
        <v>144</v>
      </c>
      <c r="B189" s="22" t="s">
        <v>216</v>
      </c>
      <c r="C189" s="22" t="s">
        <v>38</v>
      </c>
      <c r="D189" s="22" t="s">
        <v>32</v>
      </c>
      <c r="E189" s="22" t="s">
        <v>48</v>
      </c>
      <c r="F189" s="15">
        <v>300000</v>
      </c>
    </row>
    <row r="190" spans="1:6" s="2" customFormat="1" ht="27.6" customHeight="1">
      <c r="A190" s="31" t="s">
        <v>350</v>
      </c>
      <c r="B190" s="22" t="s">
        <v>216</v>
      </c>
      <c r="C190" s="22" t="s">
        <v>38</v>
      </c>
      <c r="D190" s="22" t="s">
        <v>32</v>
      </c>
      <c r="E190" s="22" t="s">
        <v>51</v>
      </c>
      <c r="F190" s="15">
        <v>20295500</v>
      </c>
    </row>
    <row r="191" spans="1:6" s="2" customFormat="1" ht="41.25" customHeight="1">
      <c r="A191" s="28" t="s">
        <v>19</v>
      </c>
      <c r="B191" s="22" t="s">
        <v>217</v>
      </c>
      <c r="C191" s="22" t="s">
        <v>38</v>
      </c>
      <c r="D191" s="22" t="s">
        <v>32</v>
      </c>
      <c r="E191" s="22" t="s">
        <v>48</v>
      </c>
      <c r="F191" s="15">
        <v>9500</v>
      </c>
    </row>
    <row r="192" spans="1:6" s="2" customFormat="1" ht="39" customHeight="1">
      <c r="A192" s="31" t="s">
        <v>18</v>
      </c>
      <c r="B192" s="22" t="s">
        <v>217</v>
      </c>
      <c r="C192" s="22" t="s">
        <v>38</v>
      </c>
      <c r="D192" s="22" t="s">
        <v>32</v>
      </c>
      <c r="E192" s="22" t="s">
        <v>51</v>
      </c>
      <c r="F192" s="15">
        <v>631700</v>
      </c>
    </row>
    <row r="193" spans="1:6" s="2" customFormat="1" ht="39" customHeight="1">
      <c r="A193" s="31" t="s">
        <v>423</v>
      </c>
      <c r="B193" s="22" t="s">
        <v>218</v>
      </c>
      <c r="C193" s="22" t="s">
        <v>38</v>
      </c>
      <c r="D193" s="22" t="s">
        <v>32</v>
      </c>
      <c r="E193" s="22" t="s">
        <v>48</v>
      </c>
      <c r="F193" s="15">
        <v>45715.78</v>
      </c>
    </row>
    <row r="194" spans="1:6" s="2" customFormat="1" ht="39.75" customHeight="1">
      <c r="A194" s="31" t="s">
        <v>296</v>
      </c>
      <c r="B194" s="22" t="s">
        <v>218</v>
      </c>
      <c r="C194" s="22" t="s">
        <v>38</v>
      </c>
      <c r="D194" s="22" t="s">
        <v>32</v>
      </c>
      <c r="E194" s="22" t="s">
        <v>51</v>
      </c>
      <c r="F194" s="15">
        <v>3576084.22</v>
      </c>
    </row>
    <row r="195" spans="1:6" s="2" customFormat="1" ht="39.75" customHeight="1">
      <c r="A195" s="31" t="s">
        <v>424</v>
      </c>
      <c r="B195" s="22" t="s">
        <v>219</v>
      </c>
      <c r="C195" s="22" t="s">
        <v>38</v>
      </c>
      <c r="D195" s="22" t="s">
        <v>32</v>
      </c>
      <c r="E195" s="22" t="s">
        <v>48</v>
      </c>
      <c r="F195" s="15">
        <v>405000</v>
      </c>
    </row>
    <row r="196" spans="1:6" s="2" customFormat="1" ht="42" customHeight="1">
      <c r="A196" s="31" t="s">
        <v>14</v>
      </c>
      <c r="B196" s="22" t="s">
        <v>219</v>
      </c>
      <c r="C196" s="22" t="s">
        <v>38</v>
      </c>
      <c r="D196" s="22" t="s">
        <v>32</v>
      </c>
      <c r="E196" s="22" t="s">
        <v>51</v>
      </c>
      <c r="F196" s="15">
        <v>25730600</v>
      </c>
    </row>
    <row r="197" spans="1:6" s="2" customFormat="1" ht="73.5" customHeight="1">
      <c r="A197" s="36" t="s">
        <v>425</v>
      </c>
      <c r="B197" s="22" t="s">
        <v>362</v>
      </c>
      <c r="C197" s="22" t="s">
        <v>38</v>
      </c>
      <c r="D197" s="22" t="s">
        <v>32</v>
      </c>
      <c r="E197" s="22" t="s">
        <v>48</v>
      </c>
      <c r="F197" s="15">
        <v>140</v>
      </c>
    </row>
    <row r="198" spans="1:6" s="2" customFormat="1" ht="66.75" customHeight="1">
      <c r="A198" s="36" t="s">
        <v>363</v>
      </c>
      <c r="B198" s="22" t="s">
        <v>362</v>
      </c>
      <c r="C198" s="22" t="s">
        <v>38</v>
      </c>
      <c r="D198" s="22" t="s">
        <v>32</v>
      </c>
      <c r="E198" s="22" t="s">
        <v>51</v>
      </c>
      <c r="F198" s="15">
        <v>6960</v>
      </c>
    </row>
    <row r="199" spans="1:6" s="2" customFormat="1" ht="53.25" customHeight="1">
      <c r="A199" s="36" t="s">
        <v>297</v>
      </c>
      <c r="B199" s="22" t="s">
        <v>220</v>
      </c>
      <c r="C199" s="22" t="s">
        <v>38</v>
      </c>
      <c r="D199" s="22" t="s">
        <v>32</v>
      </c>
      <c r="E199" s="22" t="s">
        <v>48</v>
      </c>
      <c r="F199" s="15">
        <v>8000</v>
      </c>
    </row>
    <row r="200" spans="1:6" s="2" customFormat="1" ht="42" customHeight="1">
      <c r="A200" s="36" t="s">
        <v>297</v>
      </c>
      <c r="B200" s="22" t="s">
        <v>220</v>
      </c>
      <c r="C200" s="22" t="s">
        <v>38</v>
      </c>
      <c r="D200" s="22" t="s">
        <v>32</v>
      </c>
      <c r="E200" s="22" t="s">
        <v>51</v>
      </c>
      <c r="F200" s="15">
        <v>515000</v>
      </c>
    </row>
    <row r="201" spans="1:6" s="2" customFormat="1" ht="33.75" customHeight="1">
      <c r="A201" s="31" t="s">
        <v>426</v>
      </c>
      <c r="B201" s="22" t="s">
        <v>221</v>
      </c>
      <c r="C201" s="22" t="s">
        <v>38</v>
      </c>
      <c r="D201" s="22" t="s">
        <v>32</v>
      </c>
      <c r="E201" s="22" t="s">
        <v>48</v>
      </c>
      <c r="F201" s="15">
        <v>4000</v>
      </c>
    </row>
    <row r="202" spans="1:6" s="2" customFormat="1" ht="27.6" customHeight="1">
      <c r="A202" s="31" t="s">
        <v>298</v>
      </c>
      <c r="B202" s="22" t="s">
        <v>221</v>
      </c>
      <c r="C202" s="22" t="s">
        <v>38</v>
      </c>
      <c r="D202" s="22" t="s">
        <v>32</v>
      </c>
      <c r="E202" s="22" t="s">
        <v>51</v>
      </c>
      <c r="F202" s="15">
        <v>254400</v>
      </c>
    </row>
    <row r="203" spans="1:6" s="2" customFormat="1" ht="69.75" customHeight="1">
      <c r="A203" s="36" t="s">
        <v>427</v>
      </c>
      <c r="B203" s="22" t="s">
        <v>222</v>
      </c>
      <c r="C203" s="22" t="s">
        <v>38</v>
      </c>
      <c r="D203" s="22" t="s">
        <v>32</v>
      </c>
      <c r="E203" s="22" t="s">
        <v>48</v>
      </c>
      <c r="F203" s="15">
        <v>2600</v>
      </c>
    </row>
    <row r="204" spans="1:6" s="2" customFormat="1" ht="70.5" customHeight="1">
      <c r="A204" s="36" t="s">
        <v>299</v>
      </c>
      <c r="B204" s="22" t="s">
        <v>222</v>
      </c>
      <c r="C204" s="22" t="s">
        <v>38</v>
      </c>
      <c r="D204" s="22" t="s">
        <v>32</v>
      </c>
      <c r="E204" s="22" t="s">
        <v>51</v>
      </c>
      <c r="F204" s="15">
        <v>165900</v>
      </c>
    </row>
    <row r="205" spans="1:6" s="2" customFormat="1" ht="27.75" customHeight="1">
      <c r="A205" s="31" t="s">
        <v>10</v>
      </c>
      <c r="B205" s="22" t="s">
        <v>231</v>
      </c>
      <c r="C205" s="22" t="s">
        <v>38</v>
      </c>
      <c r="D205" s="22" t="s">
        <v>35</v>
      </c>
      <c r="E205" s="22" t="s">
        <v>51</v>
      </c>
      <c r="F205" s="15">
        <v>1260000</v>
      </c>
    </row>
    <row r="206" spans="1:6" s="2" customFormat="1" ht="32.25" customHeight="1">
      <c r="A206" s="31" t="s">
        <v>11</v>
      </c>
      <c r="B206" s="22" t="s">
        <v>232</v>
      </c>
      <c r="C206" s="22" t="s">
        <v>38</v>
      </c>
      <c r="D206" s="22" t="s">
        <v>35</v>
      </c>
      <c r="E206" s="22" t="s">
        <v>51</v>
      </c>
      <c r="F206" s="15">
        <v>300000</v>
      </c>
    </row>
    <row r="207" spans="1:6" s="2" customFormat="1" ht="27.75" customHeight="1">
      <c r="A207" s="28" t="s">
        <v>142</v>
      </c>
      <c r="B207" s="22" t="s">
        <v>233</v>
      </c>
      <c r="C207" s="22" t="s">
        <v>38</v>
      </c>
      <c r="D207" s="22" t="s">
        <v>35</v>
      </c>
      <c r="E207" s="22" t="s">
        <v>48</v>
      </c>
      <c r="F207" s="15">
        <v>199000</v>
      </c>
    </row>
    <row r="208" spans="1:6" s="2" customFormat="1" ht="28.5" customHeight="1">
      <c r="A208" s="31" t="s">
        <v>12</v>
      </c>
      <c r="B208" s="22" t="s">
        <v>234</v>
      </c>
      <c r="C208" s="22" t="s">
        <v>38</v>
      </c>
      <c r="D208" s="22" t="s">
        <v>35</v>
      </c>
      <c r="E208" s="22" t="s">
        <v>51</v>
      </c>
      <c r="F208" s="15">
        <v>18978</v>
      </c>
    </row>
    <row r="209" spans="1:6" s="2" customFormat="1" ht="27" customHeight="1">
      <c r="A209" s="31" t="s">
        <v>13</v>
      </c>
      <c r="B209" s="22" t="s">
        <v>235</v>
      </c>
      <c r="C209" s="22" t="s">
        <v>38</v>
      </c>
      <c r="D209" s="22" t="s">
        <v>35</v>
      </c>
      <c r="E209" s="22" t="s">
        <v>51</v>
      </c>
      <c r="F209" s="15">
        <v>71000</v>
      </c>
    </row>
    <row r="210" spans="1:6" s="2" customFormat="1" ht="16.9" customHeight="1">
      <c r="A210" s="28" t="s">
        <v>49</v>
      </c>
      <c r="B210" s="22" t="s">
        <v>236</v>
      </c>
      <c r="C210" s="22"/>
      <c r="D210" s="22"/>
      <c r="E210" s="22"/>
      <c r="F210" s="15">
        <f>SUM(F211)</f>
        <v>55000</v>
      </c>
    </row>
    <row r="211" spans="1:6" s="2" customFormat="1" ht="45" customHeight="1">
      <c r="A211" s="28" t="s">
        <v>66</v>
      </c>
      <c r="B211" s="22" t="s">
        <v>237</v>
      </c>
      <c r="C211" s="22" t="s">
        <v>38</v>
      </c>
      <c r="D211" s="22" t="s">
        <v>35</v>
      </c>
      <c r="E211" s="22" t="s">
        <v>50</v>
      </c>
      <c r="F211" s="15">
        <v>55000</v>
      </c>
    </row>
    <row r="212" spans="1:6" s="2" customFormat="1" ht="24.75" customHeight="1">
      <c r="A212" s="31" t="s">
        <v>115</v>
      </c>
      <c r="B212" s="22" t="s">
        <v>223</v>
      </c>
      <c r="C212" s="22"/>
      <c r="D212" s="22"/>
      <c r="E212" s="22"/>
      <c r="F212" s="15">
        <f>SUM(F213)</f>
        <v>6400000</v>
      </c>
    </row>
    <row r="213" spans="1:6" s="3" customFormat="1" ht="27" customHeight="1">
      <c r="A213" s="31" t="s">
        <v>300</v>
      </c>
      <c r="B213" s="22" t="s">
        <v>224</v>
      </c>
      <c r="C213" s="22" t="s">
        <v>38</v>
      </c>
      <c r="D213" s="22" t="s">
        <v>32</v>
      </c>
      <c r="E213" s="22" t="s">
        <v>51</v>
      </c>
      <c r="F213" s="15">
        <f>5800000+600000</f>
        <v>6400000</v>
      </c>
    </row>
    <row r="214" spans="1:6" s="2" customFormat="1" ht="29.25" customHeight="1">
      <c r="A214" s="30" t="s">
        <v>428</v>
      </c>
      <c r="B214" s="21" t="s">
        <v>238</v>
      </c>
      <c r="C214" s="22"/>
      <c r="D214" s="22"/>
      <c r="E214" s="22"/>
      <c r="F214" s="17">
        <f>F215+F220</f>
        <v>11106328</v>
      </c>
    </row>
    <row r="215" spans="1:13" s="2" customFormat="1" ht="13.5">
      <c r="A215" s="28" t="s">
        <v>59</v>
      </c>
      <c r="B215" s="22" t="s">
        <v>239</v>
      </c>
      <c r="C215" s="22"/>
      <c r="D215" s="22"/>
      <c r="E215" s="22"/>
      <c r="F215" s="15">
        <f>SUM(F216:F219)</f>
        <v>11103828</v>
      </c>
      <c r="G215" s="6"/>
      <c r="H215" s="6"/>
      <c r="I215" s="6"/>
      <c r="J215" s="6"/>
      <c r="K215" s="7"/>
      <c r="L215" s="8"/>
      <c r="M215" s="12"/>
    </row>
    <row r="216" spans="1:6" s="2" customFormat="1" ht="63.75">
      <c r="A216" s="29" t="s">
        <v>64</v>
      </c>
      <c r="B216" s="22" t="s">
        <v>240</v>
      </c>
      <c r="C216" s="22" t="s">
        <v>31</v>
      </c>
      <c r="D216" s="22" t="s">
        <v>35</v>
      </c>
      <c r="E216" s="22" t="s">
        <v>47</v>
      </c>
      <c r="F216" s="15">
        <f>3258577+4380+2041091</f>
        <v>5304048</v>
      </c>
    </row>
    <row r="217" spans="1:6" s="2" customFormat="1" ht="38.25" customHeight="1">
      <c r="A217" s="28" t="s">
        <v>65</v>
      </c>
      <c r="B217" s="22" t="s">
        <v>240</v>
      </c>
      <c r="C217" s="22" t="s">
        <v>31</v>
      </c>
      <c r="D217" s="22" t="s">
        <v>35</v>
      </c>
      <c r="E217" s="22" t="s">
        <v>48</v>
      </c>
      <c r="F217" s="15">
        <f>2187764.28+110015.72</f>
        <v>2297780</v>
      </c>
    </row>
    <row r="218" spans="1:6" s="2" customFormat="1" ht="25.5">
      <c r="A218" s="28" t="s">
        <v>314</v>
      </c>
      <c r="B218" s="22" t="s">
        <v>240</v>
      </c>
      <c r="C218" s="22" t="s">
        <v>31</v>
      </c>
      <c r="D218" s="22" t="s">
        <v>35</v>
      </c>
      <c r="E218" s="22" t="s">
        <v>50</v>
      </c>
      <c r="F218" s="15">
        <v>2000</v>
      </c>
    </row>
    <row r="219" spans="1:6" s="2" customFormat="1" ht="93" customHeight="1">
      <c r="A219" s="29" t="s">
        <v>430</v>
      </c>
      <c r="B219" s="22" t="s">
        <v>429</v>
      </c>
      <c r="C219" s="22" t="s">
        <v>31</v>
      </c>
      <c r="D219" s="22" t="s">
        <v>35</v>
      </c>
      <c r="E219" s="22" t="s">
        <v>47</v>
      </c>
      <c r="F219" s="15">
        <v>3500000</v>
      </c>
    </row>
    <row r="220" spans="1:6" s="2" customFormat="1" ht="18" customHeight="1">
      <c r="A220" s="28" t="s">
        <v>49</v>
      </c>
      <c r="B220" s="22" t="s">
        <v>241</v>
      </c>
      <c r="C220" s="22"/>
      <c r="D220" s="22"/>
      <c r="E220" s="22"/>
      <c r="F220" s="15">
        <f>F221</f>
        <v>2500</v>
      </c>
    </row>
    <row r="221" spans="1:6" s="2" customFormat="1" ht="43.5" customHeight="1">
      <c r="A221" s="28" t="s">
        <v>66</v>
      </c>
      <c r="B221" s="22" t="s">
        <v>242</v>
      </c>
      <c r="C221" s="22" t="s">
        <v>31</v>
      </c>
      <c r="D221" s="22" t="s">
        <v>35</v>
      </c>
      <c r="E221" s="22" t="s">
        <v>50</v>
      </c>
      <c r="F221" s="15">
        <v>2500</v>
      </c>
    </row>
    <row r="222" spans="1:6" s="2" customFormat="1" ht="28.5" customHeight="1">
      <c r="A222" s="37" t="s">
        <v>466</v>
      </c>
      <c r="B222" s="21" t="s">
        <v>90</v>
      </c>
      <c r="C222" s="22"/>
      <c r="D222" s="22"/>
      <c r="E222" s="22"/>
      <c r="F222" s="17">
        <f>F223</f>
        <v>1696974.3</v>
      </c>
    </row>
    <row r="223" spans="1:13" s="2" customFormat="1" ht="30" customHeight="1">
      <c r="A223" s="31" t="s">
        <v>88</v>
      </c>
      <c r="B223" s="22" t="s">
        <v>91</v>
      </c>
      <c r="C223" s="22"/>
      <c r="D223" s="22"/>
      <c r="E223" s="22"/>
      <c r="F223" s="15">
        <f>SUM(F224)</f>
        <v>1696974.3</v>
      </c>
      <c r="G223" s="6"/>
      <c r="H223" s="6"/>
      <c r="I223" s="6"/>
      <c r="J223" s="6"/>
      <c r="K223" s="7"/>
      <c r="L223" s="8"/>
      <c r="M223" s="9"/>
    </row>
    <row r="224" spans="1:15" s="2" customFormat="1" ht="14.45" customHeight="1">
      <c r="A224" s="31" t="s">
        <v>89</v>
      </c>
      <c r="B224" s="22" t="s">
        <v>92</v>
      </c>
      <c r="C224" s="22"/>
      <c r="D224" s="22"/>
      <c r="E224" s="22"/>
      <c r="F224" s="15">
        <f>F225</f>
        <v>1696974.3</v>
      </c>
      <c r="G224" s="6"/>
      <c r="H224" s="6"/>
      <c r="I224" s="6"/>
      <c r="J224" s="6"/>
      <c r="K224" s="14"/>
      <c r="L224" s="8"/>
      <c r="M224" s="9"/>
      <c r="N224" s="11"/>
      <c r="O224" s="11"/>
    </row>
    <row r="225" spans="1:15" s="2" customFormat="1" ht="56.25" customHeight="1">
      <c r="A225" s="36" t="s">
        <v>515</v>
      </c>
      <c r="B225" s="22" t="s">
        <v>553</v>
      </c>
      <c r="C225" s="22" t="s">
        <v>38</v>
      </c>
      <c r="D225" s="22" t="s">
        <v>32</v>
      </c>
      <c r="E225" s="22" t="s">
        <v>51</v>
      </c>
      <c r="F225" s="15">
        <f>1795600-98625.7</f>
        <v>1696974.3</v>
      </c>
      <c r="G225" s="6"/>
      <c r="H225" s="6"/>
      <c r="I225" s="6"/>
      <c r="J225" s="6"/>
      <c r="K225" s="14"/>
      <c r="L225" s="8"/>
      <c r="M225" s="9"/>
      <c r="N225" s="11"/>
      <c r="O225" s="11"/>
    </row>
    <row r="226" spans="1:6" s="2" customFormat="1" ht="25.5">
      <c r="A226" s="30" t="s">
        <v>432</v>
      </c>
      <c r="B226" s="21" t="s">
        <v>243</v>
      </c>
      <c r="C226" s="22"/>
      <c r="D226" s="22"/>
      <c r="E226" s="22"/>
      <c r="F226" s="17">
        <f>F227+F232+F239+F237</f>
        <v>15343497.220000003</v>
      </c>
    </row>
    <row r="227" spans="1:6" s="2" customFormat="1" ht="13.5" customHeight="1">
      <c r="A227" s="28" t="s">
        <v>59</v>
      </c>
      <c r="B227" s="22" t="s">
        <v>244</v>
      </c>
      <c r="C227" s="22"/>
      <c r="D227" s="22"/>
      <c r="E227" s="22"/>
      <c r="F227" s="15">
        <f>SUM(F228:F231)</f>
        <v>9998068.870000001</v>
      </c>
    </row>
    <row r="228" spans="1:6" s="2" customFormat="1" ht="63.75">
      <c r="A228" s="29" t="s">
        <v>64</v>
      </c>
      <c r="B228" s="22" t="s">
        <v>245</v>
      </c>
      <c r="C228" s="22" t="s">
        <v>31</v>
      </c>
      <c r="D228" s="22" t="s">
        <v>43</v>
      </c>
      <c r="E228" s="22" t="s">
        <v>47</v>
      </c>
      <c r="F228" s="15">
        <f>3650675.24+2070+2077388.76</f>
        <v>5730134</v>
      </c>
    </row>
    <row r="229" spans="1:6" s="2" customFormat="1" ht="42.75" customHeight="1">
      <c r="A229" s="28" t="s">
        <v>65</v>
      </c>
      <c r="B229" s="22" t="s">
        <v>245</v>
      </c>
      <c r="C229" s="22" t="s">
        <v>31</v>
      </c>
      <c r="D229" s="22" t="s">
        <v>43</v>
      </c>
      <c r="E229" s="22" t="s">
        <v>48</v>
      </c>
      <c r="F229" s="15">
        <f>405882.2+398952.67</f>
        <v>804834.87</v>
      </c>
    </row>
    <row r="230" spans="1:6" s="2" customFormat="1" ht="39.75" customHeight="1">
      <c r="A230" s="28" t="s">
        <v>66</v>
      </c>
      <c r="B230" s="22" t="s">
        <v>245</v>
      </c>
      <c r="C230" s="22" t="s">
        <v>31</v>
      </c>
      <c r="D230" s="22" t="s">
        <v>43</v>
      </c>
      <c r="E230" s="22" t="s">
        <v>50</v>
      </c>
      <c r="F230" s="15">
        <f>230000+2508.96+2491.04</f>
        <v>235000</v>
      </c>
    </row>
    <row r="231" spans="1:6" s="2" customFormat="1" ht="87" customHeight="1">
      <c r="A231" s="29" t="s">
        <v>414</v>
      </c>
      <c r="B231" s="22" t="s">
        <v>431</v>
      </c>
      <c r="C231" s="22" t="s">
        <v>31</v>
      </c>
      <c r="D231" s="22" t="s">
        <v>43</v>
      </c>
      <c r="E231" s="22" t="s">
        <v>47</v>
      </c>
      <c r="F231" s="15">
        <v>3228100</v>
      </c>
    </row>
    <row r="232" spans="1:6" s="2" customFormat="1" ht="16.5" customHeight="1">
      <c r="A232" s="28" t="s">
        <v>23</v>
      </c>
      <c r="B232" s="22" t="s">
        <v>246</v>
      </c>
      <c r="C232" s="22"/>
      <c r="D232" s="22"/>
      <c r="E232" s="22"/>
      <c r="F232" s="15">
        <f>SUM(F233:F236)</f>
        <v>5196560.55</v>
      </c>
    </row>
    <row r="233" spans="1:6" s="2" customFormat="1" ht="25.9" customHeight="1">
      <c r="A233" s="28" t="s">
        <v>145</v>
      </c>
      <c r="B233" s="22" t="s">
        <v>251</v>
      </c>
      <c r="C233" s="22" t="s">
        <v>34</v>
      </c>
      <c r="D233" s="22" t="s">
        <v>41</v>
      </c>
      <c r="E233" s="22" t="s">
        <v>48</v>
      </c>
      <c r="F233" s="15">
        <v>135000</v>
      </c>
    </row>
    <row r="234" spans="1:6" s="2" customFormat="1" ht="25.9" customHeight="1">
      <c r="A234" s="28" t="s">
        <v>20</v>
      </c>
      <c r="B234" s="22" t="s">
        <v>251</v>
      </c>
      <c r="C234" s="22" t="s">
        <v>34</v>
      </c>
      <c r="D234" s="22" t="s">
        <v>41</v>
      </c>
      <c r="E234" s="22" t="s">
        <v>50</v>
      </c>
      <c r="F234" s="15">
        <v>50000</v>
      </c>
    </row>
    <row r="235" spans="1:6" s="2" customFormat="1" ht="38.25" customHeight="1">
      <c r="A235" s="28" t="s">
        <v>316</v>
      </c>
      <c r="B235" s="22" t="s">
        <v>247</v>
      </c>
      <c r="C235" s="22" t="s">
        <v>31</v>
      </c>
      <c r="D235" s="22" t="s">
        <v>43</v>
      </c>
      <c r="E235" s="22" t="s">
        <v>48</v>
      </c>
      <c r="F235" s="15">
        <v>4785821.35</v>
      </c>
    </row>
    <row r="236" spans="1:6" s="2" customFormat="1" ht="38.25" customHeight="1">
      <c r="A236" s="28" t="s">
        <v>317</v>
      </c>
      <c r="B236" s="22" t="s">
        <v>247</v>
      </c>
      <c r="C236" s="22" t="s">
        <v>31</v>
      </c>
      <c r="D236" s="22" t="s">
        <v>43</v>
      </c>
      <c r="E236" s="22" t="s">
        <v>50</v>
      </c>
      <c r="F236" s="15">
        <v>225739.2</v>
      </c>
    </row>
    <row r="237" spans="1:6" s="2" customFormat="1" ht="38.25" customHeight="1">
      <c r="A237" s="28" t="s">
        <v>75</v>
      </c>
      <c r="B237" s="22" t="s">
        <v>565</v>
      </c>
      <c r="C237" s="22"/>
      <c r="D237" s="22"/>
      <c r="E237" s="22"/>
      <c r="F237" s="15">
        <f>F238</f>
        <v>0</v>
      </c>
    </row>
    <row r="238" spans="1:6" s="2" customFormat="1" ht="38.25" customHeight="1">
      <c r="A238" s="28" t="s">
        <v>566</v>
      </c>
      <c r="B238" s="22" t="s">
        <v>567</v>
      </c>
      <c r="C238" s="22" t="s">
        <v>31</v>
      </c>
      <c r="D238" s="22" t="s">
        <v>43</v>
      </c>
      <c r="E238" s="22" t="s">
        <v>50</v>
      </c>
      <c r="F238" s="15">
        <v>0</v>
      </c>
    </row>
    <row r="239" spans="1:6" s="2" customFormat="1" ht="12.75">
      <c r="A239" s="28" t="s">
        <v>49</v>
      </c>
      <c r="B239" s="22" t="s">
        <v>248</v>
      </c>
      <c r="C239" s="22"/>
      <c r="D239" s="22"/>
      <c r="E239" s="22"/>
      <c r="F239" s="15">
        <f>SUM(F240:F241)</f>
        <v>148867.8</v>
      </c>
    </row>
    <row r="240" spans="1:6" s="2" customFormat="1" ht="42" customHeight="1">
      <c r="A240" s="28" t="s">
        <v>66</v>
      </c>
      <c r="B240" s="22" t="s">
        <v>249</v>
      </c>
      <c r="C240" s="22" t="s">
        <v>31</v>
      </c>
      <c r="D240" s="22" t="s">
        <v>43</v>
      </c>
      <c r="E240" s="22" t="s">
        <v>50</v>
      </c>
      <c r="F240" s="15">
        <v>7800</v>
      </c>
    </row>
    <row r="241" spans="1:6" s="2" customFormat="1" ht="25.5">
      <c r="A241" s="28" t="s">
        <v>317</v>
      </c>
      <c r="B241" s="22" t="s">
        <v>250</v>
      </c>
      <c r="C241" s="22" t="s">
        <v>31</v>
      </c>
      <c r="D241" s="22" t="s">
        <v>43</v>
      </c>
      <c r="E241" s="22" t="s">
        <v>50</v>
      </c>
      <c r="F241" s="15">
        <v>141067.8</v>
      </c>
    </row>
    <row r="242" spans="1:6" s="2" customFormat="1" ht="38.25">
      <c r="A242" s="37" t="s">
        <v>433</v>
      </c>
      <c r="B242" s="21" t="s">
        <v>109</v>
      </c>
      <c r="C242" s="22"/>
      <c r="D242" s="22"/>
      <c r="E242" s="22"/>
      <c r="F242" s="17">
        <f>F243</f>
        <v>6041824</v>
      </c>
    </row>
    <row r="243" spans="1:6" s="2" customFormat="1" ht="12.75">
      <c r="A243" s="31" t="s">
        <v>23</v>
      </c>
      <c r="B243" s="22" t="s">
        <v>252</v>
      </c>
      <c r="C243" s="22"/>
      <c r="D243" s="22"/>
      <c r="E243" s="22"/>
      <c r="F243" s="15">
        <f>SUM(F244)</f>
        <v>6041824</v>
      </c>
    </row>
    <row r="244" spans="1:6" s="2" customFormat="1" ht="25.5">
      <c r="A244" s="28" t="s">
        <v>470</v>
      </c>
      <c r="B244" s="22" t="s">
        <v>434</v>
      </c>
      <c r="C244" s="22" t="s">
        <v>39</v>
      </c>
      <c r="D244" s="22" t="s">
        <v>33</v>
      </c>
      <c r="E244" s="22" t="s">
        <v>48</v>
      </c>
      <c r="F244" s="15">
        <f>3541824+2500000</f>
        <v>6041824</v>
      </c>
    </row>
    <row r="245" spans="1:6" s="2" customFormat="1" ht="40.5" customHeight="1">
      <c r="A245" s="37" t="s">
        <v>435</v>
      </c>
      <c r="B245" s="21" t="s">
        <v>24</v>
      </c>
      <c r="C245" s="22"/>
      <c r="D245" s="22"/>
      <c r="E245" s="22"/>
      <c r="F245" s="17">
        <f>F246+F257</f>
        <v>25506275.27</v>
      </c>
    </row>
    <row r="246" spans="1:13" s="2" customFormat="1" ht="25.5">
      <c r="A246" s="31" t="s">
        <v>436</v>
      </c>
      <c r="B246" s="22" t="s">
        <v>253</v>
      </c>
      <c r="C246" s="22"/>
      <c r="D246" s="22"/>
      <c r="E246" s="22"/>
      <c r="F246" s="15">
        <f>SUM(F247:F256)</f>
        <v>25444522.27</v>
      </c>
      <c r="G246" s="6"/>
      <c r="H246" s="6"/>
      <c r="I246" s="6"/>
      <c r="J246" s="6"/>
      <c r="K246" s="7"/>
      <c r="L246" s="8"/>
      <c r="M246" s="9"/>
    </row>
    <row r="247" spans="1:13" s="2" customFormat="1" ht="38.25">
      <c r="A247" s="31" t="s">
        <v>438</v>
      </c>
      <c r="B247" s="22" t="s">
        <v>437</v>
      </c>
      <c r="C247" s="22" t="s">
        <v>34</v>
      </c>
      <c r="D247" s="22" t="s">
        <v>36</v>
      </c>
      <c r="E247" s="22" t="s">
        <v>48</v>
      </c>
      <c r="F247" s="15">
        <v>7455800</v>
      </c>
      <c r="G247" s="6"/>
      <c r="H247" s="6"/>
      <c r="I247" s="6"/>
      <c r="J247" s="6"/>
      <c r="K247" s="7"/>
      <c r="L247" s="8"/>
      <c r="M247" s="9"/>
    </row>
    <row r="248" spans="1:13" s="2" customFormat="1" ht="38.25">
      <c r="A248" s="31" t="s">
        <v>438</v>
      </c>
      <c r="B248" s="22" t="s">
        <v>518</v>
      </c>
      <c r="C248" s="22" t="s">
        <v>34</v>
      </c>
      <c r="D248" s="22" t="s">
        <v>36</v>
      </c>
      <c r="E248" s="22" t="s">
        <v>48</v>
      </c>
      <c r="F248" s="15">
        <v>385624.85</v>
      </c>
      <c r="G248" s="6"/>
      <c r="H248" s="6"/>
      <c r="I248" s="6"/>
      <c r="J248" s="6"/>
      <c r="K248" s="7"/>
      <c r="L248" s="8"/>
      <c r="M248" s="9"/>
    </row>
    <row r="249" spans="1:6" s="2" customFormat="1" ht="25.5">
      <c r="A249" s="28" t="s">
        <v>439</v>
      </c>
      <c r="B249" s="22" t="s">
        <v>254</v>
      </c>
      <c r="C249" s="22" t="s">
        <v>34</v>
      </c>
      <c r="D249" s="22" t="s">
        <v>36</v>
      </c>
      <c r="E249" s="22" t="s">
        <v>48</v>
      </c>
      <c r="F249" s="15">
        <v>4500000</v>
      </c>
    </row>
    <row r="250" spans="1:6" s="2" customFormat="1" ht="25.5">
      <c r="A250" s="28" t="s">
        <v>322</v>
      </c>
      <c r="B250" s="22" t="s">
        <v>255</v>
      </c>
      <c r="C250" s="22" t="s">
        <v>34</v>
      </c>
      <c r="D250" s="22" t="s">
        <v>36</v>
      </c>
      <c r="E250" s="22" t="s">
        <v>48</v>
      </c>
      <c r="F250" s="15">
        <v>460000</v>
      </c>
    </row>
    <row r="251" spans="1:6" s="2" customFormat="1" ht="25.5">
      <c r="A251" s="28" t="s">
        <v>323</v>
      </c>
      <c r="B251" s="22" t="s">
        <v>256</v>
      </c>
      <c r="C251" s="22" t="s">
        <v>34</v>
      </c>
      <c r="D251" s="22" t="s">
        <v>36</v>
      </c>
      <c r="E251" s="22" t="s">
        <v>48</v>
      </c>
      <c r="F251" s="15">
        <f>1151589+92000</f>
        <v>1243589</v>
      </c>
    </row>
    <row r="252" spans="1:6" s="3" customFormat="1" ht="25.5">
      <c r="A252" s="28" t="s">
        <v>324</v>
      </c>
      <c r="B252" s="22" t="s">
        <v>257</v>
      </c>
      <c r="C252" s="22" t="s">
        <v>34</v>
      </c>
      <c r="D252" s="22" t="s">
        <v>36</v>
      </c>
      <c r="E252" s="22" t="s">
        <v>48</v>
      </c>
      <c r="F252" s="15">
        <v>245234.17</v>
      </c>
    </row>
    <row r="253" spans="1:6" s="3" customFormat="1" ht="30" customHeight="1">
      <c r="A253" s="28" t="s">
        <v>510</v>
      </c>
      <c r="B253" s="22" t="s">
        <v>258</v>
      </c>
      <c r="C253" s="22" t="s">
        <v>34</v>
      </c>
      <c r="D253" s="22" t="s">
        <v>36</v>
      </c>
      <c r="E253" s="22" t="s">
        <v>48</v>
      </c>
      <c r="F253" s="15">
        <v>913826.15</v>
      </c>
    </row>
    <row r="254" spans="1:6" s="4" customFormat="1" ht="30.75" customHeight="1">
      <c r="A254" s="28" t="s">
        <v>98</v>
      </c>
      <c r="B254" s="22" t="s">
        <v>259</v>
      </c>
      <c r="C254" s="22" t="s">
        <v>34</v>
      </c>
      <c r="D254" s="22" t="s">
        <v>36</v>
      </c>
      <c r="E254" s="22" t="s">
        <v>48</v>
      </c>
      <c r="F254" s="15">
        <v>1094778.1</v>
      </c>
    </row>
    <row r="255" spans="1:6" s="4" customFormat="1" ht="32.25" customHeight="1">
      <c r="A255" s="28" t="s">
        <v>517</v>
      </c>
      <c r="B255" s="22" t="s">
        <v>516</v>
      </c>
      <c r="C255" s="22" t="s">
        <v>34</v>
      </c>
      <c r="D255" s="22" t="s">
        <v>36</v>
      </c>
      <c r="E255" s="22" t="s">
        <v>48</v>
      </c>
      <c r="F255" s="15">
        <v>5174555</v>
      </c>
    </row>
    <row r="256" spans="1:6" s="4" customFormat="1" ht="30" customHeight="1">
      <c r="A256" s="28" t="s">
        <v>488</v>
      </c>
      <c r="B256" s="22" t="s">
        <v>489</v>
      </c>
      <c r="C256" s="22" t="s">
        <v>34</v>
      </c>
      <c r="D256" s="22" t="s">
        <v>36</v>
      </c>
      <c r="E256" s="22" t="s">
        <v>48</v>
      </c>
      <c r="F256" s="15">
        <f>3271115+700000</f>
        <v>3971115</v>
      </c>
    </row>
    <row r="257" spans="1:6" s="4" customFormat="1" ht="29.25" customHeight="1">
      <c r="A257" s="28" t="s">
        <v>555</v>
      </c>
      <c r="B257" s="22" t="s">
        <v>557</v>
      </c>
      <c r="C257" s="22"/>
      <c r="D257" s="22"/>
      <c r="E257" s="22"/>
      <c r="F257" s="15">
        <f>F258+F259</f>
        <v>61753</v>
      </c>
    </row>
    <row r="258" spans="1:6" s="4" customFormat="1" ht="29.25" customHeight="1">
      <c r="A258" s="28" t="s">
        <v>556</v>
      </c>
      <c r="B258" s="22" t="s">
        <v>554</v>
      </c>
      <c r="C258" s="22" t="s">
        <v>40</v>
      </c>
      <c r="D258" s="22" t="s">
        <v>33</v>
      </c>
      <c r="E258" s="22" t="s">
        <v>52</v>
      </c>
      <c r="F258" s="15">
        <v>29253</v>
      </c>
    </row>
    <row r="259" spans="1:6" s="4" customFormat="1" ht="30" customHeight="1">
      <c r="A259" s="28" t="s">
        <v>556</v>
      </c>
      <c r="B259" s="22" t="s">
        <v>554</v>
      </c>
      <c r="C259" s="22" t="s">
        <v>40</v>
      </c>
      <c r="D259" s="22" t="s">
        <v>32</v>
      </c>
      <c r="E259" s="22" t="s">
        <v>52</v>
      </c>
      <c r="F259" s="15">
        <v>32500</v>
      </c>
    </row>
    <row r="260" spans="1:6" s="3" customFormat="1" ht="33.75" customHeight="1">
      <c r="A260" s="37" t="s">
        <v>467</v>
      </c>
      <c r="B260" s="21" t="s">
        <v>84</v>
      </c>
      <c r="C260" s="22"/>
      <c r="D260" s="22"/>
      <c r="E260" s="22"/>
      <c r="F260" s="17">
        <f>F261</f>
        <v>800000</v>
      </c>
    </row>
    <row r="261" spans="1:6" s="3" customFormat="1" ht="21" customHeight="1">
      <c r="A261" s="31" t="s">
        <v>23</v>
      </c>
      <c r="B261" s="22" t="s">
        <v>85</v>
      </c>
      <c r="C261" s="22"/>
      <c r="D261" s="22"/>
      <c r="E261" s="22"/>
      <c r="F261" s="15">
        <f>F262</f>
        <v>800000</v>
      </c>
    </row>
    <row r="262" spans="1:6" s="3" customFormat="1" ht="29.25" customHeight="1">
      <c r="A262" s="28" t="s">
        <v>87</v>
      </c>
      <c r="B262" s="22" t="s">
        <v>86</v>
      </c>
      <c r="C262" s="22" t="s">
        <v>35</v>
      </c>
      <c r="D262" s="22" t="s">
        <v>39</v>
      </c>
      <c r="E262" s="22" t="s">
        <v>48</v>
      </c>
      <c r="F262" s="15">
        <v>800000</v>
      </c>
    </row>
    <row r="263" spans="1:6" s="3" customFormat="1" ht="25.5">
      <c r="A263" s="37" t="s">
        <v>465</v>
      </c>
      <c r="B263" s="21" t="s">
        <v>83</v>
      </c>
      <c r="C263" s="22"/>
      <c r="D263" s="22"/>
      <c r="E263" s="22"/>
      <c r="F263" s="17">
        <f>SUM(F264+F270+F277+F279+F281)</f>
        <v>31837816.53</v>
      </c>
    </row>
    <row r="264" spans="1:12" s="3" customFormat="1" ht="13.5">
      <c r="A264" s="28" t="s">
        <v>59</v>
      </c>
      <c r="B264" s="22" t="s">
        <v>266</v>
      </c>
      <c r="C264" s="22"/>
      <c r="D264" s="22"/>
      <c r="E264" s="22"/>
      <c r="F264" s="15">
        <f>SUM(F265:F269)</f>
        <v>12236993.85</v>
      </c>
      <c r="G264" s="6"/>
      <c r="H264" s="6"/>
      <c r="I264" s="6"/>
      <c r="J264" s="7"/>
      <c r="K264" s="8"/>
      <c r="L264" s="9"/>
    </row>
    <row r="265" spans="1:12" s="3" customFormat="1" ht="63.75">
      <c r="A265" s="29" t="s">
        <v>64</v>
      </c>
      <c r="B265" s="22" t="s">
        <v>267</v>
      </c>
      <c r="C265" s="22" t="s">
        <v>39</v>
      </c>
      <c r="D265" s="22" t="s">
        <v>39</v>
      </c>
      <c r="E265" s="22" t="s">
        <v>47</v>
      </c>
      <c r="F265" s="15">
        <f>7998295.88+2615+2415485.12</f>
        <v>10416396</v>
      </c>
      <c r="G265" s="6"/>
      <c r="H265" s="6"/>
      <c r="I265" s="6"/>
      <c r="J265" s="7"/>
      <c r="K265" s="8"/>
      <c r="L265" s="9"/>
    </row>
    <row r="266" spans="1:12" s="3" customFormat="1" ht="38.25">
      <c r="A266" s="28" t="s">
        <v>65</v>
      </c>
      <c r="B266" s="22" t="s">
        <v>267</v>
      </c>
      <c r="C266" s="22" t="s">
        <v>39</v>
      </c>
      <c r="D266" s="22" t="s">
        <v>39</v>
      </c>
      <c r="E266" s="22" t="s">
        <v>48</v>
      </c>
      <c r="F266" s="15">
        <f>701562+1051395.9</f>
        <v>1752957.9</v>
      </c>
      <c r="G266" s="6"/>
      <c r="H266" s="6"/>
      <c r="I266" s="6"/>
      <c r="J266" s="7"/>
      <c r="K266" s="8"/>
      <c r="L266" s="9"/>
    </row>
    <row r="267" spans="1:6" s="3" customFormat="1" ht="39.75" customHeight="1">
      <c r="A267" s="28" t="s">
        <v>66</v>
      </c>
      <c r="B267" s="22" t="s">
        <v>267</v>
      </c>
      <c r="C267" s="22" t="s">
        <v>39</v>
      </c>
      <c r="D267" s="22" t="s">
        <v>39</v>
      </c>
      <c r="E267" s="22" t="s">
        <v>50</v>
      </c>
      <c r="F267" s="15">
        <v>5539.95</v>
      </c>
    </row>
    <row r="268" spans="1:6" s="3" customFormat="1" ht="69" customHeight="1">
      <c r="A268" s="34" t="s">
        <v>93</v>
      </c>
      <c r="B268" s="22" t="s">
        <v>94</v>
      </c>
      <c r="C268" s="22" t="s">
        <v>39</v>
      </c>
      <c r="D268" s="22" t="s">
        <v>39</v>
      </c>
      <c r="E268" s="22" t="s">
        <v>47</v>
      </c>
      <c r="F268" s="15">
        <f>34153+10307</f>
        <v>44460</v>
      </c>
    </row>
    <row r="269" spans="1:6" s="3" customFormat="1" ht="43.5" customHeight="1">
      <c r="A269" s="34" t="s">
        <v>99</v>
      </c>
      <c r="B269" s="22" t="s">
        <v>94</v>
      </c>
      <c r="C269" s="22" t="s">
        <v>39</v>
      </c>
      <c r="D269" s="22" t="s">
        <v>39</v>
      </c>
      <c r="E269" s="22" t="s">
        <v>48</v>
      </c>
      <c r="F269" s="15">
        <v>17640</v>
      </c>
    </row>
    <row r="270" spans="1:6" s="3" customFormat="1" ht="12.75">
      <c r="A270" s="31" t="s">
        <v>23</v>
      </c>
      <c r="B270" s="22" t="s">
        <v>260</v>
      </c>
      <c r="C270" s="22"/>
      <c r="D270" s="22"/>
      <c r="E270" s="22"/>
      <c r="F270" s="15">
        <f>SUM(F271:F276)</f>
        <v>13028781.73</v>
      </c>
    </row>
    <row r="271" spans="1:6" s="2" customFormat="1" ht="25.5">
      <c r="A271" s="28" t="s">
        <v>326</v>
      </c>
      <c r="B271" s="22" t="s">
        <v>262</v>
      </c>
      <c r="C271" s="22" t="s">
        <v>39</v>
      </c>
      <c r="D271" s="22" t="s">
        <v>32</v>
      </c>
      <c r="E271" s="22" t="s">
        <v>48</v>
      </c>
      <c r="F271" s="15">
        <v>1567125</v>
      </c>
    </row>
    <row r="272" spans="1:6" s="2" customFormat="1" ht="25.5">
      <c r="A272" s="28" t="s">
        <v>327</v>
      </c>
      <c r="B272" s="22" t="s">
        <v>263</v>
      </c>
      <c r="C272" s="22" t="s">
        <v>39</v>
      </c>
      <c r="D272" s="22" t="s">
        <v>32</v>
      </c>
      <c r="E272" s="22" t="s">
        <v>48</v>
      </c>
      <c r="F272" s="15">
        <v>5615446.83</v>
      </c>
    </row>
    <row r="273" spans="1:6" s="2" customFormat="1" ht="25.5">
      <c r="A273" s="28" t="s">
        <v>519</v>
      </c>
      <c r="B273" s="22" t="s">
        <v>264</v>
      </c>
      <c r="C273" s="22" t="s">
        <v>39</v>
      </c>
      <c r="D273" s="22" t="s">
        <v>32</v>
      </c>
      <c r="E273" s="22" t="s">
        <v>48</v>
      </c>
      <c r="F273" s="15">
        <v>871046</v>
      </c>
    </row>
    <row r="274" spans="1:6" s="2" customFormat="1" ht="25.5">
      <c r="A274" s="28" t="s">
        <v>328</v>
      </c>
      <c r="B274" s="22" t="s">
        <v>265</v>
      </c>
      <c r="C274" s="22" t="s">
        <v>39</v>
      </c>
      <c r="D274" s="22" t="s">
        <v>32</v>
      </c>
      <c r="E274" s="22" t="s">
        <v>48</v>
      </c>
      <c r="F274" s="15">
        <v>4845963.9</v>
      </c>
    </row>
    <row r="275" spans="1:6" s="2" customFormat="1" ht="30.75" customHeight="1">
      <c r="A275" s="28" t="s">
        <v>534</v>
      </c>
      <c r="B275" s="22" t="s">
        <v>265</v>
      </c>
      <c r="C275" s="22" t="s">
        <v>39</v>
      </c>
      <c r="D275" s="22" t="s">
        <v>32</v>
      </c>
      <c r="E275" s="22" t="s">
        <v>51</v>
      </c>
      <c r="F275" s="15">
        <v>30000</v>
      </c>
    </row>
    <row r="276" spans="1:6" s="2" customFormat="1" ht="60" customHeight="1">
      <c r="A276" s="29" t="s">
        <v>325</v>
      </c>
      <c r="B276" s="22" t="s">
        <v>261</v>
      </c>
      <c r="C276" s="22" t="s">
        <v>34</v>
      </c>
      <c r="D276" s="22" t="s">
        <v>39</v>
      </c>
      <c r="E276" s="22" t="s">
        <v>48</v>
      </c>
      <c r="F276" s="15">
        <v>99200</v>
      </c>
    </row>
    <row r="277" spans="1:6" s="2" customFormat="1" ht="33.75" customHeight="1">
      <c r="A277" s="28" t="s">
        <v>75</v>
      </c>
      <c r="B277" s="22" t="s">
        <v>320</v>
      </c>
      <c r="C277" s="22"/>
      <c r="D277" s="22"/>
      <c r="E277" s="22"/>
      <c r="F277" s="15">
        <f>SUM(F278)</f>
        <v>1494411.3</v>
      </c>
    </row>
    <row r="278" spans="1:6" s="2" customFormat="1" ht="30" customHeight="1">
      <c r="A278" s="28" t="s">
        <v>319</v>
      </c>
      <c r="B278" s="22" t="s">
        <v>321</v>
      </c>
      <c r="C278" s="22" t="s">
        <v>39</v>
      </c>
      <c r="D278" s="22" t="s">
        <v>33</v>
      </c>
      <c r="E278" s="22" t="s">
        <v>50</v>
      </c>
      <c r="F278" s="15">
        <v>1494411.3</v>
      </c>
    </row>
    <row r="279" spans="1:6" s="2" customFormat="1" ht="12.75">
      <c r="A279" s="28" t="s">
        <v>49</v>
      </c>
      <c r="B279" s="22" t="s">
        <v>268</v>
      </c>
      <c r="C279" s="22"/>
      <c r="D279" s="22"/>
      <c r="E279" s="22"/>
      <c r="F279" s="15">
        <f>SUM(F280)</f>
        <v>655846.05</v>
      </c>
    </row>
    <row r="280" spans="1:6" s="2" customFormat="1" ht="38.25">
      <c r="A280" s="28" t="s">
        <v>66</v>
      </c>
      <c r="B280" s="22" t="s">
        <v>269</v>
      </c>
      <c r="C280" s="22" t="s">
        <v>39</v>
      </c>
      <c r="D280" s="22" t="s">
        <v>39</v>
      </c>
      <c r="E280" s="22" t="s">
        <v>50</v>
      </c>
      <c r="F280" s="15">
        <v>655846.05</v>
      </c>
    </row>
    <row r="281" spans="1:6" s="2" customFormat="1" ht="16.5" customHeight="1">
      <c r="A281" s="31" t="s">
        <v>45</v>
      </c>
      <c r="B281" s="22" t="s">
        <v>440</v>
      </c>
      <c r="C281" s="22"/>
      <c r="D281" s="22"/>
      <c r="E281" s="22"/>
      <c r="F281" s="15">
        <f>F282+F283</f>
        <v>4421783.6</v>
      </c>
    </row>
    <row r="282" spans="1:6" s="2" customFormat="1" ht="51">
      <c r="A282" s="31" t="s">
        <v>443</v>
      </c>
      <c r="B282" s="22" t="s">
        <v>441</v>
      </c>
      <c r="C282" s="22" t="s">
        <v>39</v>
      </c>
      <c r="D282" s="22" t="s">
        <v>32</v>
      </c>
      <c r="E282" s="22" t="s">
        <v>47</v>
      </c>
      <c r="F282" s="15">
        <f>2528218.6+748507</f>
        <v>3276725.6</v>
      </c>
    </row>
    <row r="283" spans="1:6" s="2" customFormat="1" ht="12.75">
      <c r="A283" s="31" t="s">
        <v>442</v>
      </c>
      <c r="B283" s="22" t="s">
        <v>441</v>
      </c>
      <c r="C283" s="22" t="s">
        <v>39</v>
      </c>
      <c r="D283" s="22" t="s">
        <v>32</v>
      </c>
      <c r="E283" s="22" t="s">
        <v>48</v>
      </c>
      <c r="F283" s="15">
        <f>48141+1096917</f>
        <v>1145058</v>
      </c>
    </row>
    <row r="284" spans="1:6" s="3" customFormat="1" ht="25.5">
      <c r="A284" s="37" t="s">
        <v>444</v>
      </c>
      <c r="B284" s="21" t="s">
        <v>110</v>
      </c>
      <c r="C284" s="22"/>
      <c r="D284" s="22"/>
      <c r="E284" s="22"/>
      <c r="F284" s="17">
        <f>SUM(F285+F289+F293+F302+F306)+F299</f>
        <v>60013614.730000004</v>
      </c>
    </row>
    <row r="285" spans="1:12" s="3" customFormat="1" ht="12.75">
      <c r="A285" s="28" t="s">
        <v>59</v>
      </c>
      <c r="B285" s="22" t="s">
        <v>283</v>
      </c>
      <c r="C285" s="22"/>
      <c r="D285" s="22"/>
      <c r="E285" s="22"/>
      <c r="F285" s="15">
        <f>SUM(F286:F288)</f>
        <v>1394520</v>
      </c>
      <c r="G285" s="6"/>
      <c r="H285" s="6"/>
      <c r="I285" s="6"/>
      <c r="J285" s="14"/>
      <c r="K285" s="8"/>
      <c r="L285" s="9"/>
    </row>
    <row r="286" spans="1:12" s="3" customFormat="1" ht="63.75">
      <c r="A286" s="29" t="s">
        <v>64</v>
      </c>
      <c r="B286" s="22" t="s">
        <v>284</v>
      </c>
      <c r="C286" s="22" t="s">
        <v>37</v>
      </c>
      <c r="D286" s="22" t="s">
        <v>34</v>
      </c>
      <c r="E286" s="22" t="s">
        <v>47</v>
      </c>
      <c r="F286" s="15">
        <f>982445+2000+297531</f>
        <v>1281976</v>
      </c>
      <c r="G286" s="6"/>
      <c r="H286" s="6"/>
      <c r="I286" s="6"/>
      <c r="J286" s="14"/>
      <c r="K286" s="8"/>
      <c r="L286" s="9"/>
    </row>
    <row r="287" spans="1:12" s="3" customFormat="1" ht="38.25">
      <c r="A287" s="28" t="s">
        <v>65</v>
      </c>
      <c r="B287" s="22" t="s">
        <v>284</v>
      </c>
      <c r="C287" s="22" t="s">
        <v>37</v>
      </c>
      <c r="D287" s="22" t="s">
        <v>34</v>
      </c>
      <c r="E287" s="22" t="s">
        <v>48</v>
      </c>
      <c r="F287" s="15">
        <f>64234+48000</f>
        <v>112234</v>
      </c>
      <c r="G287" s="6"/>
      <c r="H287" s="6"/>
      <c r="I287" s="6"/>
      <c r="J287" s="14"/>
      <c r="K287" s="8"/>
      <c r="L287" s="9"/>
    </row>
    <row r="288" spans="1:12" s="3" customFormat="1" ht="38.25">
      <c r="A288" s="28" t="s">
        <v>66</v>
      </c>
      <c r="B288" s="22" t="s">
        <v>284</v>
      </c>
      <c r="C288" s="22" t="s">
        <v>37</v>
      </c>
      <c r="D288" s="22" t="s">
        <v>34</v>
      </c>
      <c r="E288" s="22" t="s">
        <v>50</v>
      </c>
      <c r="F288" s="15">
        <v>310</v>
      </c>
      <c r="G288" s="6"/>
      <c r="H288" s="6"/>
      <c r="I288" s="6"/>
      <c r="J288" s="14"/>
      <c r="K288" s="8"/>
      <c r="L288" s="9"/>
    </row>
    <row r="289" spans="1:6" s="3" customFormat="1" ht="12.75">
      <c r="A289" s="22" t="s">
        <v>23</v>
      </c>
      <c r="B289" s="22" t="s">
        <v>273</v>
      </c>
      <c r="C289" s="22"/>
      <c r="D289" s="22"/>
      <c r="E289" s="22"/>
      <c r="F289" s="15">
        <f>SUM(F290:F292)</f>
        <v>826644</v>
      </c>
    </row>
    <row r="290" spans="1:6" s="3" customFormat="1" ht="38.25">
      <c r="A290" s="28" t="s">
        <v>331</v>
      </c>
      <c r="B290" s="22" t="s">
        <v>274</v>
      </c>
      <c r="C290" s="22" t="s">
        <v>37</v>
      </c>
      <c r="D290" s="22" t="s">
        <v>31</v>
      </c>
      <c r="E290" s="22" t="s">
        <v>48</v>
      </c>
      <c r="F290" s="15">
        <f>514141+150000</f>
        <v>664141</v>
      </c>
    </row>
    <row r="291" spans="1:6" s="3" customFormat="1" ht="25.5">
      <c r="A291" s="28" t="s">
        <v>535</v>
      </c>
      <c r="B291" s="22" t="s">
        <v>274</v>
      </c>
      <c r="C291" s="22" t="s">
        <v>37</v>
      </c>
      <c r="D291" s="22" t="s">
        <v>31</v>
      </c>
      <c r="E291" s="22" t="s">
        <v>51</v>
      </c>
      <c r="F291" s="15">
        <v>86203</v>
      </c>
    </row>
    <row r="292" spans="1:6" s="3" customFormat="1" ht="38.25">
      <c r="A292" s="28" t="s">
        <v>445</v>
      </c>
      <c r="B292" s="22" t="s">
        <v>558</v>
      </c>
      <c r="C292" s="22" t="s">
        <v>37</v>
      </c>
      <c r="D292" s="22" t="s">
        <v>31</v>
      </c>
      <c r="E292" s="22" t="s">
        <v>48</v>
      </c>
      <c r="F292" s="15">
        <v>76300</v>
      </c>
    </row>
    <row r="293" spans="1:6" s="3" customFormat="1" ht="27" customHeight="1">
      <c r="A293" s="34" t="s">
        <v>46</v>
      </c>
      <c r="B293" s="22" t="s">
        <v>270</v>
      </c>
      <c r="C293" s="22"/>
      <c r="D293" s="22"/>
      <c r="E293" s="22"/>
      <c r="F293" s="15">
        <f>SUM(F294:F298)</f>
        <v>45881963</v>
      </c>
    </row>
    <row r="294" spans="1:6" s="3" customFormat="1" ht="66.75" customHeight="1">
      <c r="A294" s="34" t="s">
        <v>329</v>
      </c>
      <c r="B294" s="22" t="s">
        <v>271</v>
      </c>
      <c r="C294" s="22" t="s">
        <v>40</v>
      </c>
      <c r="D294" s="22" t="s">
        <v>32</v>
      </c>
      <c r="E294" s="22" t="s">
        <v>52</v>
      </c>
      <c r="F294" s="15">
        <v>5588399</v>
      </c>
    </row>
    <row r="295" spans="1:6" s="3" customFormat="1" ht="66.75" customHeight="1">
      <c r="A295" s="34" t="s">
        <v>329</v>
      </c>
      <c r="B295" s="22" t="s">
        <v>271</v>
      </c>
      <c r="C295" s="22" t="s">
        <v>37</v>
      </c>
      <c r="D295" s="22" t="s">
        <v>31</v>
      </c>
      <c r="E295" s="22" t="s">
        <v>52</v>
      </c>
      <c r="F295" s="15">
        <v>3676133</v>
      </c>
    </row>
    <row r="296" spans="1:6" s="3" customFormat="1" ht="42" customHeight="1">
      <c r="A296" s="34" t="s">
        <v>330</v>
      </c>
      <c r="B296" s="22" t="s">
        <v>272</v>
      </c>
      <c r="C296" s="22" t="s">
        <v>40</v>
      </c>
      <c r="D296" s="22" t="s">
        <v>32</v>
      </c>
      <c r="E296" s="22" t="s">
        <v>52</v>
      </c>
      <c r="F296" s="15">
        <f>20844897-47000+893976</f>
        <v>21691873</v>
      </c>
    </row>
    <row r="297" spans="1:6" s="3" customFormat="1" ht="25.15" customHeight="1">
      <c r="A297" s="34" t="s">
        <v>332</v>
      </c>
      <c r="B297" s="22" t="s">
        <v>275</v>
      </c>
      <c r="C297" s="22" t="s">
        <v>37</v>
      </c>
      <c r="D297" s="22" t="s">
        <v>31</v>
      </c>
      <c r="E297" s="22" t="s">
        <v>52</v>
      </c>
      <c r="F297" s="15">
        <f>2029320+9147605+1359480</f>
        <v>12536405</v>
      </c>
    </row>
    <row r="298" spans="1:6" s="3" customFormat="1" ht="24.6" customHeight="1">
      <c r="A298" s="34" t="s">
        <v>333</v>
      </c>
      <c r="B298" s="22" t="s">
        <v>276</v>
      </c>
      <c r="C298" s="22" t="s">
        <v>37</v>
      </c>
      <c r="D298" s="22" t="s">
        <v>31</v>
      </c>
      <c r="E298" s="22" t="s">
        <v>52</v>
      </c>
      <c r="F298" s="15">
        <v>2389153</v>
      </c>
    </row>
    <row r="299" spans="1:6" s="3" customFormat="1" ht="17.25" customHeight="1">
      <c r="A299" s="34" t="s">
        <v>100</v>
      </c>
      <c r="B299" s="22" t="s">
        <v>494</v>
      </c>
      <c r="C299" s="22"/>
      <c r="D299" s="22"/>
      <c r="E299" s="22"/>
      <c r="F299" s="15">
        <f>F300+F301</f>
        <v>1120253</v>
      </c>
    </row>
    <row r="300" spans="1:6" s="3" customFormat="1" ht="44.25" customHeight="1">
      <c r="A300" s="34" t="s">
        <v>330</v>
      </c>
      <c r="B300" s="22" t="s">
        <v>495</v>
      </c>
      <c r="C300" s="22" t="s">
        <v>40</v>
      </c>
      <c r="D300" s="22" t="s">
        <v>32</v>
      </c>
      <c r="E300" s="22" t="s">
        <v>52</v>
      </c>
      <c r="F300" s="15">
        <f>50000+514519+429754+70980</f>
        <v>1065253</v>
      </c>
    </row>
    <row r="301" spans="1:6" s="3" customFormat="1" ht="28.5" customHeight="1">
      <c r="A301" s="34" t="s">
        <v>332</v>
      </c>
      <c r="B301" s="22" t="s">
        <v>564</v>
      </c>
      <c r="C301" s="22" t="s">
        <v>37</v>
      </c>
      <c r="D301" s="22" t="s">
        <v>31</v>
      </c>
      <c r="E301" s="22" t="s">
        <v>52</v>
      </c>
      <c r="F301" s="15">
        <v>55000</v>
      </c>
    </row>
    <row r="302" spans="1:6" s="3" customFormat="1" ht="14.45" customHeight="1">
      <c r="A302" s="28" t="s">
        <v>49</v>
      </c>
      <c r="B302" s="22" t="s">
        <v>277</v>
      </c>
      <c r="C302" s="22"/>
      <c r="D302" s="22"/>
      <c r="E302" s="22"/>
      <c r="F302" s="15">
        <f>SUM(F303:F305)</f>
        <v>20720</v>
      </c>
    </row>
    <row r="303" spans="1:13" s="3" customFormat="1" ht="42.75" customHeight="1">
      <c r="A303" s="28" t="s">
        <v>66</v>
      </c>
      <c r="B303" s="22" t="s">
        <v>285</v>
      </c>
      <c r="C303" s="22" t="s">
        <v>37</v>
      </c>
      <c r="D303" s="22" t="s">
        <v>34</v>
      </c>
      <c r="E303" s="22" t="s">
        <v>50</v>
      </c>
      <c r="F303" s="15">
        <v>1896</v>
      </c>
      <c r="G303" s="6"/>
      <c r="H303" s="6"/>
      <c r="I303" s="6"/>
      <c r="J303" s="6"/>
      <c r="K303" s="14"/>
      <c r="L303" s="8"/>
      <c r="M303" s="9"/>
    </row>
    <row r="304" spans="1:13" s="3" customFormat="1" ht="12.75">
      <c r="A304" s="28" t="s">
        <v>334</v>
      </c>
      <c r="B304" s="22" t="s">
        <v>278</v>
      </c>
      <c r="C304" s="22" t="s">
        <v>37</v>
      </c>
      <c r="D304" s="22" t="s">
        <v>31</v>
      </c>
      <c r="E304" s="22" t="s">
        <v>50</v>
      </c>
      <c r="F304" s="15">
        <v>9704</v>
      </c>
      <c r="G304" s="6"/>
      <c r="H304" s="6"/>
      <c r="I304" s="6"/>
      <c r="J304" s="6"/>
      <c r="K304" s="14"/>
      <c r="L304" s="8"/>
      <c r="M304" s="9"/>
    </row>
    <row r="305" spans="1:13" s="3" customFormat="1" ht="25.5">
      <c r="A305" s="28" t="s">
        <v>335</v>
      </c>
      <c r="B305" s="22" t="s">
        <v>279</v>
      </c>
      <c r="C305" s="22" t="s">
        <v>37</v>
      </c>
      <c r="D305" s="22" t="s">
        <v>31</v>
      </c>
      <c r="E305" s="22" t="s">
        <v>50</v>
      </c>
      <c r="F305" s="15">
        <v>9120</v>
      </c>
      <c r="G305" s="6"/>
      <c r="H305" s="6"/>
      <c r="I305" s="6"/>
      <c r="J305" s="6"/>
      <c r="K305" s="14"/>
      <c r="L305" s="8"/>
      <c r="M305" s="9"/>
    </row>
    <row r="306" spans="1:6" s="3" customFormat="1" ht="18" customHeight="1">
      <c r="A306" s="22" t="s">
        <v>45</v>
      </c>
      <c r="B306" s="22" t="s">
        <v>280</v>
      </c>
      <c r="C306" s="22"/>
      <c r="D306" s="22"/>
      <c r="E306" s="22"/>
      <c r="F306" s="15">
        <f>SUM(F307:F315)</f>
        <v>10769514.73</v>
      </c>
    </row>
    <row r="307" spans="1:6" s="3" customFormat="1" ht="81" customHeight="1">
      <c r="A307" s="29" t="s">
        <v>130</v>
      </c>
      <c r="B307" s="22" t="s">
        <v>286</v>
      </c>
      <c r="C307" s="22" t="s">
        <v>37</v>
      </c>
      <c r="D307" s="22" t="s">
        <v>34</v>
      </c>
      <c r="E307" s="22" t="s">
        <v>47</v>
      </c>
      <c r="F307" s="15">
        <f>1869717.79+2000+574259.51</f>
        <v>2445977.3</v>
      </c>
    </row>
    <row r="308" spans="1:6" s="3" customFormat="1" ht="58.5" customHeight="1">
      <c r="A308" s="29" t="s">
        <v>132</v>
      </c>
      <c r="B308" s="22" t="s">
        <v>286</v>
      </c>
      <c r="C308" s="22" t="s">
        <v>37</v>
      </c>
      <c r="D308" s="22" t="s">
        <v>34</v>
      </c>
      <c r="E308" s="22" t="s">
        <v>48</v>
      </c>
      <c r="F308" s="15">
        <f>89116.43+21000</f>
        <v>110116.43</v>
      </c>
    </row>
    <row r="309" spans="1:6" s="3" customFormat="1" ht="84" customHeight="1">
      <c r="A309" s="29" t="s">
        <v>560</v>
      </c>
      <c r="B309" s="22" t="s">
        <v>559</v>
      </c>
      <c r="C309" s="22" t="s">
        <v>37</v>
      </c>
      <c r="D309" s="22" t="s">
        <v>31</v>
      </c>
      <c r="E309" s="22" t="s">
        <v>47</v>
      </c>
      <c r="F309" s="15">
        <v>1002768</v>
      </c>
    </row>
    <row r="310" spans="1:6" s="3" customFormat="1" ht="54" customHeight="1">
      <c r="A310" s="28" t="s">
        <v>336</v>
      </c>
      <c r="B310" s="22" t="s">
        <v>281</v>
      </c>
      <c r="C310" s="22" t="s">
        <v>37</v>
      </c>
      <c r="D310" s="22" t="s">
        <v>31</v>
      </c>
      <c r="E310" s="22" t="s">
        <v>47</v>
      </c>
      <c r="F310" s="15">
        <f>1065637+2000+321823+227990</f>
        <v>1617450</v>
      </c>
    </row>
    <row r="311" spans="1:6" s="3" customFormat="1" ht="27" customHeight="1">
      <c r="A311" s="28" t="s">
        <v>337</v>
      </c>
      <c r="B311" s="22" t="s">
        <v>281</v>
      </c>
      <c r="C311" s="22" t="s">
        <v>37</v>
      </c>
      <c r="D311" s="22" t="s">
        <v>31</v>
      </c>
      <c r="E311" s="22" t="s">
        <v>48</v>
      </c>
      <c r="F311" s="15">
        <f>72600+203434</f>
        <v>276034</v>
      </c>
    </row>
    <row r="312" spans="1:6" s="4" customFormat="1" ht="16.9" customHeight="1">
      <c r="A312" s="28" t="s">
        <v>334</v>
      </c>
      <c r="B312" s="22" t="s">
        <v>281</v>
      </c>
      <c r="C312" s="22" t="s">
        <v>37</v>
      </c>
      <c r="D312" s="22" t="s">
        <v>31</v>
      </c>
      <c r="E312" s="22" t="s">
        <v>50</v>
      </c>
      <c r="F312" s="15">
        <v>84</v>
      </c>
    </row>
    <row r="313" spans="1:6" s="2" customFormat="1" ht="51">
      <c r="A313" s="29" t="s">
        <v>338</v>
      </c>
      <c r="B313" s="22" t="s">
        <v>282</v>
      </c>
      <c r="C313" s="22" t="s">
        <v>37</v>
      </c>
      <c r="D313" s="22" t="s">
        <v>31</v>
      </c>
      <c r="E313" s="22" t="s">
        <v>47</v>
      </c>
      <c r="F313" s="15">
        <f>2865763+4600+865461+634710</f>
        <v>4370534</v>
      </c>
    </row>
    <row r="314" spans="1:6" s="2" customFormat="1" ht="45.75" customHeight="1">
      <c r="A314" s="28" t="s">
        <v>339</v>
      </c>
      <c r="B314" s="22" t="s">
        <v>282</v>
      </c>
      <c r="C314" s="22" t="s">
        <v>37</v>
      </c>
      <c r="D314" s="22" t="s">
        <v>31</v>
      </c>
      <c r="E314" s="22" t="s">
        <v>48</v>
      </c>
      <c r="F314" s="15">
        <f>72500+808947+65000</f>
        <v>946447</v>
      </c>
    </row>
    <row r="315" spans="1:6" s="2" customFormat="1" ht="25.5">
      <c r="A315" s="28" t="s">
        <v>335</v>
      </c>
      <c r="B315" s="22" t="s">
        <v>282</v>
      </c>
      <c r="C315" s="22" t="s">
        <v>37</v>
      </c>
      <c r="D315" s="22" t="s">
        <v>31</v>
      </c>
      <c r="E315" s="22" t="s">
        <v>50</v>
      </c>
      <c r="F315" s="15">
        <v>104</v>
      </c>
    </row>
    <row r="316" spans="1:6" ht="25.5">
      <c r="A316" s="35" t="s">
        <v>446</v>
      </c>
      <c r="B316" s="21" t="s">
        <v>149</v>
      </c>
      <c r="C316" s="22"/>
      <c r="D316" s="22"/>
      <c r="E316" s="22"/>
      <c r="F316" s="17">
        <f>SUM(F317+F319)</f>
        <v>1108900</v>
      </c>
    </row>
    <row r="317" spans="1:6" ht="17.45" customHeight="1">
      <c r="A317" s="31" t="s">
        <v>23</v>
      </c>
      <c r="B317" s="22" t="s">
        <v>355</v>
      </c>
      <c r="C317" s="22"/>
      <c r="D317" s="22"/>
      <c r="E317" s="22"/>
      <c r="F317" s="15">
        <f>SUM(F318)</f>
        <v>90000</v>
      </c>
    </row>
    <row r="318" spans="1:6" ht="28.15" customHeight="1">
      <c r="A318" s="34" t="s">
        <v>340</v>
      </c>
      <c r="B318" s="22" t="s">
        <v>356</v>
      </c>
      <c r="C318" s="22" t="s">
        <v>40</v>
      </c>
      <c r="D318" s="22" t="s">
        <v>40</v>
      </c>
      <c r="E318" s="22" t="s">
        <v>52</v>
      </c>
      <c r="F318" s="15">
        <v>90000</v>
      </c>
    </row>
    <row r="319" spans="1:6" ht="29.25" customHeight="1">
      <c r="A319" s="28" t="s">
        <v>121</v>
      </c>
      <c r="B319" s="22" t="s">
        <v>351</v>
      </c>
      <c r="C319" s="22"/>
      <c r="D319" s="22"/>
      <c r="E319" s="22"/>
      <c r="F319" s="15">
        <f>SUM(F320:F323)</f>
        <v>1018900</v>
      </c>
    </row>
    <row r="320" spans="1:6" ht="51">
      <c r="A320" s="34" t="s">
        <v>447</v>
      </c>
      <c r="B320" s="22" t="s">
        <v>448</v>
      </c>
      <c r="C320" s="22" t="s">
        <v>42</v>
      </c>
      <c r="D320" s="22" t="s">
        <v>32</v>
      </c>
      <c r="E320" s="22" t="s">
        <v>52</v>
      </c>
      <c r="F320" s="15">
        <v>20000</v>
      </c>
    </row>
    <row r="321" spans="1:6" ht="37.9" customHeight="1">
      <c r="A321" s="34" t="s">
        <v>113</v>
      </c>
      <c r="B321" s="22" t="s">
        <v>288</v>
      </c>
      <c r="C321" s="22" t="s">
        <v>287</v>
      </c>
      <c r="D321" s="22" t="s">
        <v>33</v>
      </c>
      <c r="E321" s="22" t="s">
        <v>52</v>
      </c>
      <c r="F321" s="15">
        <f>200000+35000</f>
        <v>235000</v>
      </c>
    </row>
    <row r="322" spans="1:15" ht="26.45" customHeight="1">
      <c r="A322" s="34" t="s">
        <v>124</v>
      </c>
      <c r="B322" s="22" t="s">
        <v>352</v>
      </c>
      <c r="C322" s="22" t="s">
        <v>38</v>
      </c>
      <c r="D322" s="22" t="s">
        <v>35</v>
      </c>
      <c r="E322" s="22" t="s">
        <v>52</v>
      </c>
      <c r="F322" s="15">
        <v>673900</v>
      </c>
      <c r="G322" s="6"/>
      <c r="H322" s="6"/>
      <c r="I322" s="6"/>
      <c r="J322" s="6"/>
      <c r="K322" s="7"/>
      <c r="L322" s="8"/>
      <c r="M322" s="9"/>
      <c r="N322" s="8"/>
      <c r="O322" s="9"/>
    </row>
    <row r="323" spans="1:15" ht="39.75" customHeight="1">
      <c r="A323" s="34" t="s">
        <v>114</v>
      </c>
      <c r="B323" s="22" t="s">
        <v>353</v>
      </c>
      <c r="C323" s="22" t="s">
        <v>38</v>
      </c>
      <c r="D323" s="22" t="s">
        <v>35</v>
      </c>
      <c r="E323" s="22" t="s">
        <v>52</v>
      </c>
      <c r="F323" s="15">
        <v>90000</v>
      </c>
      <c r="G323" s="6"/>
      <c r="H323" s="6"/>
      <c r="I323" s="6"/>
      <c r="J323" s="6"/>
      <c r="K323" s="14"/>
      <c r="L323" s="8"/>
      <c r="M323" s="9"/>
      <c r="N323" s="10"/>
      <c r="O323" s="10"/>
    </row>
    <row r="324" spans="1:15" ht="25.5">
      <c r="A324" s="35" t="s">
        <v>482</v>
      </c>
      <c r="B324" s="21" t="s">
        <v>483</v>
      </c>
      <c r="C324" s="22"/>
      <c r="D324" s="22"/>
      <c r="E324" s="22"/>
      <c r="F324" s="17">
        <f>F325</f>
        <v>12054900</v>
      </c>
      <c r="G324" s="6"/>
      <c r="H324" s="6"/>
      <c r="I324" s="6"/>
      <c r="J324" s="6"/>
      <c r="K324" s="14"/>
      <c r="L324" s="8"/>
      <c r="M324" s="9"/>
      <c r="N324" s="10"/>
      <c r="O324" s="10"/>
    </row>
    <row r="325" spans="1:15" ht="15.75" customHeight="1">
      <c r="A325" s="34" t="s">
        <v>23</v>
      </c>
      <c r="B325" s="22" t="s">
        <v>484</v>
      </c>
      <c r="C325" s="22"/>
      <c r="D325" s="22"/>
      <c r="E325" s="22"/>
      <c r="F325" s="15">
        <f>F326</f>
        <v>12054900</v>
      </c>
      <c r="G325" s="6"/>
      <c r="H325" s="6"/>
      <c r="I325" s="6"/>
      <c r="J325" s="6"/>
      <c r="K325" s="14"/>
      <c r="L325" s="8"/>
      <c r="M325" s="9"/>
      <c r="N325" s="10"/>
      <c r="O325" s="10"/>
    </row>
    <row r="326" spans="1:15" ht="28.5" customHeight="1">
      <c r="A326" s="34" t="s">
        <v>481</v>
      </c>
      <c r="B326" s="22" t="s">
        <v>485</v>
      </c>
      <c r="C326" s="22" t="s">
        <v>39</v>
      </c>
      <c r="D326" s="22" t="s">
        <v>32</v>
      </c>
      <c r="E326" s="22" t="s">
        <v>48</v>
      </c>
      <c r="F326" s="15">
        <v>12054900</v>
      </c>
      <c r="G326" s="6"/>
      <c r="H326" s="6"/>
      <c r="I326" s="6"/>
      <c r="J326" s="6"/>
      <c r="K326" s="14"/>
      <c r="L326" s="8"/>
      <c r="M326" s="9"/>
      <c r="N326" s="10"/>
      <c r="O326" s="10"/>
    </row>
    <row r="327" spans="1:15" ht="21" customHeight="1">
      <c r="A327" s="35" t="s">
        <v>450</v>
      </c>
      <c r="B327" s="21" t="s">
        <v>449</v>
      </c>
      <c r="C327" s="22"/>
      <c r="D327" s="22"/>
      <c r="E327" s="22"/>
      <c r="F327" s="17">
        <f>F328+F330</f>
        <v>284700</v>
      </c>
      <c r="G327" s="6"/>
      <c r="H327" s="6"/>
      <c r="I327" s="6"/>
      <c r="J327" s="6"/>
      <c r="K327" s="14"/>
      <c r="L327" s="8"/>
      <c r="M327" s="9"/>
      <c r="N327" s="10"/>
      <c r="O327" s="10"/>
    </row>
    <row r="328" spans="1:15" ht="12.75">
      <c r="A328" s="31" t="s">
        <v>23</v>
      </c>
      <c r="B328" s="22" t="s">
        <v>452</v>
      </c>
      <c r="C328" s="22"/>
      <c r="D328" s="22"/>
      <c r="E328" s="22"/>
      <c r="F328" s="15">
        <f>F329</f>
        <v>25000</v>
      </c>
      <c r="G328" s="6"/>
      <c r="H328" s="6"/>
      <c r="I328" s="6"/>
      <c r="J328" s="6"/>
      <c r="K328" s="14"/>
      <c r="L328" s="8"/>
      <c r="M328" s="9"/>
      <c r="N328" s="10"/>
      <c r="O328" s="10"/>
    </row>
    <row r="329" spans="1:15" ht="38.25">
      <c r="A329" s="34" t="s">
        <v>469</v>
      </c>
      <c r="B329" s="22" t="s">
        <v>451</v>
      </c>
      <c r="C329" s="22" t="s">
        <v>39</v>
      </c>
      <c r="D329" s="22" t="s">
        <v>39</v>
      </c>
      <c r="E329" s="22" t="s">
        <v>48</v>
      </c>
      <c r="F329" s="15">
        <v>25000</v>
      </c>
      <c r="G329" s="6"/>
      <c r="H329" s="6"/>
      <c r="I329" s="6"/>
      <c r="J329" s="6"/>
      <c r="K329" s="14"/>
      <c r="L329" s="8"/>
      <c r="M329" s="9"/>
      <c r="N329" s="10"/>
      <c r="O329" s="10"/>
    </row>
    <row r="330" spans="1:15" ht="12.75">
      <c r="A330" s="34" t="s">
        <v>100</v>
      </c>
      <c r="B330" s="22" t="s">
        <v>453</v>
      </c>
      <c r="C330" s="22"/>
      <c r="D330" s="22"/>
      <c r="E330" s="22"/>
      <c r="F330" s="15">
        <f>F331+F333+F332</f>
        <v>259700</v>
      </c>
      <c r="G330" s="6"/>
      <c r="H330" s="6"/>
      <c r="I330" s="6"/>
      <c r="J330" s="6"/>
      <c r="K330" s="14"/>
      <c r="L330" s="8"/>
      <c r="M330" s="9"/>
      <c r="N330" s="10"/>
      <c r="O330" s="10"/>
    </row>
    <row r="331" spans="1:15" ht="41.25" customHeight="1">
      <c r="A331" s="34" t="s">
        <v>455</v>
      </c>
      <c r="B331" s="22" t="s">
        <v>454</v>
      </c>
      <c r="C331" s="22" t="s">
        <v>40</v>
      </c>
      <c r="D331" s="22" t="s">
        <v>32</v>
      </c>
      <c r="E331" s="22" t="s">
        <v>52</v>
      </c>
      <c r="F331" s="15">
        <v>93304</v>
      </c>
      <c r="G331" s="6"/>
      <c r="H331" s="6"/>
      <c r="I331" s="6"/>
      <c r="J331" s="6"/>
      <c r="K331" s="14"/>
      <c r="L331" s="8"/>
      <c r="M331" s="9"/>
      <c r="N331" s="10"/>
      <c r="O331" s="10"/>
    </row>
    <row r="332" spans="1:15" ht="41.25" customHeight="1">
      <c r="A332" s="34" t="s">
        <v>455</v>
      </c>
      <c r="B332" s="22" t="s">
        <v>454</v>
      </c>
      <c r="C332" s="22" t="s">
        <v>37</v>
      </c>
      <c r="D332" s="22" t="s">
        <v>31</v>
      </c>
      <c r="E332" s="22" t="s">
        <v>52</v>
      </c>
      <c r="F332" s="15">
        <v>66396</v>
      </c>
      <c r="G332" s="6"/>
      <c r="H332" s="6"/>
      <c r="I332" s="6"/>
      <c r="J332" s="6"/>
      <c r="K332" s="14"/>
      <c r="L332" s="8"/>
      <c r="M332" s="9"/>
      <c r="N332" s="10"/>
      <c r="O332" s="10"/>
    </row>
    <row r="333" spans="1:15" ht="44.25" customHeight="1">
      <c r="A333" s="34" t="s">
        <v>455</v>
      </c>
      <c r="B333" s="22" t="s">
        <v>454</v>
      </c>
      <c r="C333" s="22" t="s">
        <v>42</v>
      </c>
      <c r="D333" s="22" t="s">
        <v>33</v>
      </c>
      <c r="E333" s="22" t="s">
        <v>52</v>
      </c>
      <c r="F333" s="15">
        <v>100000</v>
      </c>
      <c r="G333" s="6"/>
      <c r="H333" s="6"/>
      <c r="I333" s="6"/>
      <c r="J333" s="6"/>
      <c r="K333" s="14"/>
      <c r="L333" s="8"/>
      <c r="M333" s="9"/>
      <c r="N333" s="10"/>
      <c r="O333" s="10"/>
    </row>
    <row r="334" spans="1:13" ht="12.75">
      <c r="A334" s="30" t="s">
        <v>58</v>
      </c>
      <c r="B334" s="21" t="s">
        <v>57</v>
      </c>
      <c r="C334" s="22"/>
      <c r="D334" s="22"/>
      <c r="E334" s="22"/>
      <c r="F334" s="17">
        <f>F335+F374+F372+F369</f>
        <v>69888344.18</v>
      </c>
      <c r="G334" s="10"/>
      <c r="H334" s="10"/>
      <c r="I334" s="10"/>
      <c r="J334" s="10"/>
      <c r="K334" s="10"/>
      <c r="L334" s="10"/>
      <c r="M334" s="10"/>
    </row>
    <row r="335" spans="1:6" ht="12.75">
      <c r="A335" s="28" t="s">
        <v>59</v>
      </c>
      <c r="B335" s="22" t="s">
        <v>60</v>
      </c>
      <c r="C335" s="22"/>
      <c r="D335" s="22"/>
      <c r="E335" s="22"/>
      <c r="F335" s="15">
        <f>SUM(F336:F368)</f>
        <v>68660394.9</v>
      </c>
    </row>
    <row r="336" spans="1:6" ht="25.5">
      <c r="A336" s="28" t="s">
        <v>523</v>
      </c>
      <c r="B336" s="22" t="s">
        <v>293</v>
      </c>
      <c r="C336" s="22" t="s">
        <v>40</v>
      </c>
      <c r="D336" s="22" t="s">
        <v>36</v>
      </c>
      <c r="E336" s="22" t="s">
        <v>82</v>
      </c>
      <c r="F336" s="15">
        <v>2364197</v>
      </c>
    </row>
    <row r="337" spans="1:6" ht="12.75">
      <c r="A337" s="28" t="s">
        <v>349</v>
      </c>
      <c r="B337" s="22" t="s">
        <v>293</v>
      </c>
      <c r="C337" s="22" t="s">
        <v>31</v>
      </c>
      <c r="D337" s="22" t="s">
        <v>34</v>
      </c>
      <c r="E337" s="22" t="s">
        <v>50</v>
      </c>
      <c r="F337" s="15">
        <v>5695</v>
      </c>
    </row>
    <row r="338" spans="1:6" ht="12.75">
      <c r="A338" s="28" t="s">
        <v>349</v>
      </c>
      <c r="B338" s="22" t="s">
        <v>293</v>
      </c>
      <c r="C338" s="22" t="s">
        <v>31</v>
      </c>
      <c r="D338" s="22" t="s">
        <v>43</v>
      </c>
      <c r="E338" s="22" t="s">
        <v>50</v>
      </c>
      <c r="F338" s="15">
        <f>4224287.05+362878.04</f>
        <v>4587165.09</v>
      </c>
    </row>
    <row r="339" spans="1:6" ht="12.75">
      <c r="A339" s="28" t="s">
        <v>349</v>
      </c>
      <c r="B339" s="22" t="s">
        <v>293</v>
      </c>
      <c r="C339" s="22" t="s">
        <v>39</v>
      </c>
      <c r="D339" s="22" t="s">
        <v>31</v>
      </c>
      <c r="E339" s="22" t="s">
        <v>50</v>
      </c>
      <c r="F339" s="15">
        <v>171514.36</v>
      </c>
    </row>
    <row r="340" spans="1:6" ht="12.75">
      <c r="A340" s="28" t="s">
        <v>349</v>
      </c>
      <c r="B340" s="22" t="s">
        <v>293</v>
      </c>
      <c r="C340" s="22" t="s">
        <v>39</v>
      </c>
      <c r="D340" s="22" t="s">
        <v>32</v>
      </c>
      <c r="E340" s="22" t="s">
        <v>50</v>
      </c>
      <c r="F340" s="15">
        <f>8772099.66+41400+18653.05+1239181.09</f>
        <v>10071333.8</v>
      </c>
    </row>
    <row r="341" spans="1:6" ht="12.75">
      <c r="A341" s="28" t="s">
        <v>349</v>
      </c>
      <c r="B341" s="22" t="s">
        <v>293</v>
      </c>
      <c r="C341" s="22" t="s">
        <v>40</v>
      </c>
      <c r="D341" s="22" t="s">
        <v>36</v>
      </c>
      <c r="E341" s="22" t="s">
        <v>50</v>
      </c>
      <c r="F341" s="15">
        <v>71631.22</v>
      </c>
    </row>
    <row r="342" spans="1:6" ht="12.75">
      <c r="A342" s="28" t="s">
        <v>349</v>
      </c>
      <c r="B342" s="22" t="s">
        <v>293</v>
      </c>
      <c r="C342" s="22" t="s">
        <v>38</v>
      </c>
      <c r="D342" s="22" t="s">
        <v>35</v>
      </c>
      <c r="E342" s="22" t="s">
        <v>50</v>
      </c>
      <c r="F342" s="15">
        <v>14415.18</v>
      </c>
    </row>
    <row r="343" spans="1:6" ht="12.75">
      <c r="A343" s="28" t="s">
        <v>17</v>
      </c>
      <c r="B343" s="22" t="s">
        <v>123</v>
      </c>
      <c r="C343" s="22" t="s">
        <v>31</v>
      </c>
      <c r="D343" s="22" t="s">
        <v>42</v>
      </c>
      <c r="E343" s="22" t="s">
        <v>50</v>
      </c>
      <c r="F343" s="15">
        <v>764747.27</v>
      </c>
    </row>
    <row r="344" spans="1:6" ht="51">
      <c r="A344" s="28" t="s">
        <v>63</v>
      </c>
      <c r="B344" s="22" t="s">
        <v>62</v>
      </c>
      <c r="C344" s="22" t="s">
        <v>31</v>
      </c>
      <c r="D344" s="22" t="s">
        <v>33</v>
      </c>
      <c r="E344" s="22" t="s">
        <v>47</v>
      </c>
      <c r="F344" s="15">
        <v>1705236</v>
      </c>
    </row>
    <row r="345" spans="1:6" ht="63.75">
      <c r="A345" s="29" t="s">
        <v>64</v>
      </c>
      <c r="B345" s="22" t="s">
        <v>61</v>
      </c>
      <c r="C345" s="22" t="s">
        <v>31</v>
      </c>
      <c r="D345" s="22" t="s">
        <v>32</v>
      </c>
      <c r="E345" s="22" t="s">
        <v>47</v>
      </c>
      <c r="F345" s="15">
        <f>2006172.88+7200+500000+604654.62</f>
        <v>3118027.5</v>
      </c>
    </row>
    <row r="346" spans="1:6" ht="38.25">
      <c r="A346" s="28" t="s">
        <v>65</v>
      </c>
      <c r="B346" s="22" t="s">
        <v>61</v>
      </c>
      <c r="C346" s="22" t="s">
        <v>31</v>
      </c>
      <c r="D346" s="22" t="s">
        <v>32</v>
      </c>
      <c r="E346" s="22" t="s">
        <v>48</v>
      </c>
      <c r="F346" s="15">
        <f>133872.95+558004.74</f>
        <v>691877.69</v>
      </c>
    </row>
    <row r="347" spans="1:13" ht="38.25">
      <c r="A347" s="28" t="s">
        <v>341</v>
      </c>
      <c r="B347" s="22" t="s">
        <v>61</v>
      </c>
      <c r="C347" s="22" t="s">
        <v>31</v>
      </c>
      <c r="D347" s="22" t="s">
        <v>32</v>
      </c>
      <c r="E347" s="22" t="s">
        <v>50</v>
      </c>
      <c r="F347" s="15">
        <f>1332+15518</f>
        <v>16850</v>
      </c>
      <c r="G347" s="6"/>
      <c r="H347" s="6"/>
      <c r="I347" s="6"/>
      <c r="J347" s="6"/>
      <c r="K347" s="7"/>
      <c r="L347" s="8"/>
      <c r="M347" s="12"/>
    </row>
    <row r="348" spans="1:13" ht="51">
      <c r="A348" s="29" t="s">
        <v>127</v>
      </c>
      <c r="B348" s="22" t="s">
        <v>61</v>
      </c>
      <c r="C348" s="22" t="s">
        <v>31</v>
      </c>
      <c r="D348" s="22" t="s">
        <v>34</v>
      </c>
      <c r="E348" s="22" t="s">
        <v>47</v>
      </c>
      <c r="F348" s="15">
        <f>14019855.12+89570+6330160.61</f>
        <v>20439585.73</v>
      </c>
      <c r="G348" s="6"/>
      <c r="H348" s="6"/>
      <c r="I348" s="6"/>
      <c r="J348" s="6"/>
      <c r="K348" s="7"/>
      <c r="L348" s="8"/>
      <c r="M348" s="12"/>
    </row>
    <row r="349" spans="1:13" ht="26.25" customHeight="1">
      <c r="A349" s="28" t="s">
        <v>345</v>
      </c>
      <c r="B349" s="22" t="s">
        <v>61</v>
      </c>
      <c r="C349" s="22" t="s">
        <v>31</v>
      </c>
      <c r="D349" s="22" t="s">
        <v>34</v>
      </c>
      <c r="E349" s="22" t="s">
        <v>48</v>
      </c>
      <c r="F349" s="15">
        <f>2601074.58+7159626.57</f>
        <v>9760701.15</v>
      </c>
      <c r="G349" s="6"/>
      <c r="H349" s="6"/>
      <c r="I349" s="6"/>
      <c r="J349" s="6"/>
      <c r="K349" s="7"/>
      <c r="L349" s="7"/>
      <c r="M349" s="12"/>
    </row>
    <row r="350" spans="1:13" ht="28.5" customHeight="1">
      <c r="A350" s="28" t="s">
        <v>536</v>
      </c>
      <c r="B350" s="22" t="s">
        <v>61</v>
      </c>
      <c r="C350" s="22" t="s">
        <v>31</v>
      </c>
      <c r="D350" s="22" t="s">
        <v>34</v>
      </c>
      <c r="E350" s="22" t="s">
        <v>51</v>
      </c>
      <c r="F350" s="15">
        <f>207094</f>
        <v>207094</v>
      </c>
      <c r="G350" s="6"/>
      <c r="H350" s="6"/>
      <c r="I350" s="6"/>
      <c r="J350" s="6"/>
      <c r="K350" s="7"/>
      <c r="L350" s="8"/>
      <c r="M350" s="12"/>
    </row>
    <row r="351" spans="1:13" ht="25.5">
      <c r="A351" s="28" t="s">
        <v>346</v>
      </c>
      <c r="B351" s="22" t="s">
        <v>61</v>
      </c>
      <c r="C351" s="22" t="s">
        <v>31</v>
      </c>
      <c r="D351" s="22" t="s">
        <v>34</v>
      </c>
      <c r="E351" s="22" t="s">
        <v>50</v>
      </c>
      <c r="F351" s="15">
        <f>3000+14023.24+179925.76</f>
        <v>196949</v>
      </c>
      <c r="G351" s="6"/>
      <c r="H351" s="6"/>
      <c r="I351" s="6"/>
      <c r="J351" s="6"/>
      <c r="K351" s="7"/>
      <c r="L351" s="8"/>
      <c r="M351" s="9"/>
    </row>
    <row r="352" spans="1:6" ht="63.75">
      <c r="A352" s="29" t="s">
        <v>64</v>
      </c>
      <c r="B352" s="22" t="s">
        <v>61</v>
      </c>
      <c r="C352" s="22" t="s">
        <v>31</v>
      </c>
      <c r="D352" s="22" t="s">
        <v>35</v>
      </c>
      <c r="E352" s="22" t="s">
        <v>47</v>
      </c>
      <c r="F352" s="15">
        <f>1260066+22200+380540</f>
        <v>1662806</v>
      </c>
    </row>
    <row r="353" spans="1:12" ht="38.25">
      <c r="A353" s="28" t="s">
        <v>65</v>
      </c>
      <c r="B353" s="22" t="s">
        <v>61</v>
      </c>
      <c r="C353" s="22" t="s">
        <v>31</v>
      </c>
      <c r="D353" s="22" t="s">
        <v>35</v>
      </c>
      <c r="E353" s="22" t="s">
        <v>48</v>
      </c>
      <c r="F353" s="15">
        <f>91755.91+26089</f>
        <v>117844.91</v>
      </c>
      <c r="K353" s="39"/>
      <c r="L353" s="39"/>
    </row>
    <row r="354" spans="1:6" ht="38.25">
      <c r="A354" s="28" t="s">
        <v>66</v>
      </c>
      <c r="B354" s="22" t="s">
        <v>61</v>
      </c>
      <c r="C354" s="22" t="s">
        <v>31</v>
      </c>
      <c r="D354" s="22" t="s">
        <v>35</v>
      </c>
      <c r="E354" s="22" t="s">
        <v>50</v>
      </c>
      <c r="F354" s="15">
        <v>10760</v>
      </c>
    </row>
    <row r="355" spans="1:6" ht="51">
      <c r="A355" s="29" t="s">
        <v>68</v>
      </c>
      <c r="B355" s="22" t="s">
        <v>67</v>
      </c>
      <c r="C355" s="22" t="s">
        <v>31</v>
      </c>
      <c r="D355" s="22" t="s">
        <v>32</v>
      </c>
      <c r="E355" s="22" t="s">
        <v>47</v>
      </c>
      <c r="F355" s="15">
        <f>1226309+86895</f>
        <v>1313204</v>
      </c>
    </row>
    <row r="356" spans="1:6" ht="60" customHeight="1">
      <c r="A356" s="29" t="s">
        <v>22</v>
      </c>
      <c r="B356" s="22" t="s">
        <v>80</v>
      </c>
      <c r="C356" s="22" t="s">
        <v>31</v>
      </c>
      <c r="D356" s="22" t="s">
        <v>35</v>
      </c>
      <c r="E356" s="22" t="s">
        <v>47</v>
      </c>
      <c r="F356" s="15">
        <f>856075+59925</f>
        <v>916000</v>
      </c>
    </row>
    <row r="357" spans="1:12" ht="52.5" customHeight="1">
      <c r="A357" s="29" t="s">
        <v>460</v>
      </c>
      <c r="B357" s="22" t="s">
        <v>459</v>
      </c>
      <c r="C357" s="22" t="s">
        <v>31</v>
      </c>
      <c r="D357" s="22" t="s">
        <v>34</v>
      </c>
      <c r="E357" s="22" t="s">
        <v>47</v>
      </c>
      <c r="F357" s="15">
        <f>337181+101819</f>
        <v>439000</v>
      </c>
      <c r="K357" s="39"/>
      <c r="L357" s="39"/>
    </row>
    <row r="358" spans="1:6" ht="28.5" customHeight="1">
      <c r="A358" s="29" t="s">
        <v>461</v>
      </c>
      <c r="B358" s="22" t="s">
        <v>459</v>
      </c>
      <c r="C358" s="22" t="s">
        <v>31</v>
      </c>
      <c r="D358" s="22" t="s">
        <v>34</v>
      </c>
      <c r="E358" s="22" t="s">
        <v>48</v>
      </c>
      <c r="F358" s="15">
        <f>13242+14758</f>
        <v>28000</v>
      </c>
    </row>
    <row r="359" spans="1:6" ht="38.25">
      <c r="A359" s="28" t="s">
        <v>342</v>
      </c>
      <c r="B359" s="22" t="s">
        <v>289</v>
      </c>
      <c r="C359" s="22" t="s">
        <v>31</v>
      </c>
      <c r="D359" s="22" t="s">
        <v>34</v>
      </c>
      <c r="E359" s="22" t="s">
        <v>48</v>
      </c>
      <c r="F359" s="15">
        <v>55100</v>
      </c>
    </row>
    <row r="360" spans="1:12" ht="63.75">
      <c r="A360" s="29" t="s">
        <v>343</v>
      </c>
      <c r="B360" s="22" t="s">
        <v>290</v>
      </c>
      <c r="C360" s="22" t="s">
        <v>31</v>
      </c>
      <c r="D360" s="22" t="s">
        <v>34</v>
      </c>
      <c r="E360" s="22" t="s">
        <v>47</v>
      </c>
      <c r="F360" s="15">
        <f>72836+21994</f>
        <v>94830</v>
      </c>
      <c r="K360" s="39"/>
      <c r="L360" s="39"/>
    </row>
    <row r="361" spans="1:6" ht="38.25">
      <c r="A361" s="28" t="s">
        <v>344</v>
      </c>
      <c r="B361" s="22" t="s">
        <v>290</v>
      </c>
      <c r="C361" s="22" t="s">
        <v>31</v>
      </c>
      <c r="D361" s="22" t="s">
        <v>34</v>
      </c>
      <c r="E361" s="22" t="s">
        <v>48</v>
      </c>
      <c r="F361" s="15">
        <v>4410</v>
      </c>
    </row>
    <row r="362" spans="1:6" ht="51">
      <c r="A362" s="29" t="s">
        <v>127</v>
      </c>
      <c r="B362" s="22" t="s">
        <v>291</v>
      </c>
      <c r="C362" s="22" t="s">
        <v>31</v>
      </c>
      <c r="D362" s="22" t="s">
        <v>34</v>
      </c>
      <c r="E362" s="22" t="s">
        <v>47</v>
      </c>
      <c r="F362" s="18">
        <f>226302+68378</f>
        <v>294680</v>
      </c>
    </row>
    <row r="363" spans="1:12" ht="25.5">
      <c r="A363" s="28" t="s">
        <v>345</v>
      </c>
      <c r="B363" s="22" t="s">
        <v>291</v>
      </c>
      <c r="C363" s="22" t="s">
        <v>31</v>
      </c>
      <c r="D363" s="22" t="s">
        <v>34</v>
      </c>
      <c r="E363" s="22" t="s">
        <v>48</v>
      </c>
      <c r="F363" s="18">
        <f>53635+9765</f>
        <v>63400</v>
      </c>
      <c r="K363" s="39"/>
      <c r="L363" s="39"/>
    </row>
    <row r="364" spans="1:6" ht="51">
      <c r="A364" s="29" t="s">
        <v>458</v>
      </c>
      <c r="B364" s="22" t="s">
        <v>457</v>
      </c>
      <c r="C364" s="22" t="s">
        <v>31</v>
      </c>
      <c r="D364" s="22" t="s">
        <v>39</v>
      </c>
      <c r="E364" s="22" t="s">
        <v>48</v>
      </c>
      <c r="F364" s="18">
        <v>26240</v>
      </c>
    </row>
    <row r="365" spans="1:6" ht="95.25" customHeight="1">
      <c r="A365" s="29" t="s">
        <v>128</v>
      </c>
      <c r="B365" s="22" t="s">
        <v>292</v>
      </c>
      <c r="C365" s="22" t="s">
        <v>32</v>
      </c>
      <c r="D365" s="22" t="s">
        <v>34</v>
      </c>
      <c r="E365" s="22" t="s">
        <v>47</v>
      </c>
      <c r="F365" s="18">
        <f>1834203+3872.5+546681.31</f>
        <v>2384756.81</v>
      </c>
    </row>
    <row r="366" spans="1:12" ht="63.75">
      <c r="A366" s="29" t="s">
        <v>347</v>
      </c>
      <c r="B366" s="22" t="s">
        <v>292</v>
      </c>
      <c r="C366" s="22" t="s">
        <v>32</v>
      </c>
      <c r="D366" s="22" t="s">
        <v>34</v>
      </c>
      <c r="E366" s="22" t="s">
        <v>48</v>
      </c>
      <c r="F366" s="18">
        <f>29785.57+340149.62</f>
        <v>369935.19</v>
      </c>
      <c r="K366" s="39"/>
      <c r="L366" s="39"/>
    </row>
    <row r="367" spans="1:6" ht="63.75">
      <c r="A367" s="29" t="s">
        <v>348</v>
      </c>
      <c r="B367" s="22" t="s">
        <v>292</v>
      </c>
      <c r="C367" s="22" t="s">
        <v>32</v>
      </c>
      <c r="D367" s="22" t="s">
        <v>34</v>
      </c>
      <c r="E367" s="22" t="s">
        <v>50</v>
      </c>
      <c r="F367" s="18">
        <v>2408</v>
      </c>
    </row>
    <row r="368" spans="1:6" ht="84" customHeight="1">
      <c r="A368" s="29" t="s">
        <v>414</v>
      </c>
      <c r="B368" s="22" t="s">
        <v>456</v>
      </c>
      <c r="C368" s="22" t="s">
        <v>31</v>
      </c>
      <c r="D368" s="22" t="s">
        <v>34</v>
      </c>
      <c r="E368" s="22" t="s">
        <v>47</v>
      </c>
      <c r="F368" s="18">
        <v>6690000</v>
      </c>
    </row>
    <row r="369" spans="1:6" ht="12.75">
      <c r="A369" s="34" t="s">
        <v>100</v>
      </c>
      <c r="B369" s="22" t="s">
        <v>537</v>
      </c>
      <c r="C369" s="22"/>
      <c r="D369" s="22"/>
      <c r="E369" s="22"/>
      <c r="F369" s="18">
        <f>F370+F371</f>
        <v>407622.28</v>
      </c>
    </row>
    <row r="370" spans="1:6" ht="25.5">
      <c r="A370" s="29" t="s">
        <v>539</v>
      </c>
      <c r="B370" s="22" t="s">
        <v>538</v>
      </c>
      <c r="C370" s="22" t="s">
        <v>40</v>
      </c>
      <c r="D370" s="22" t="s">
        <v>33</v>
      </c>
      <c r="E370" s="22" t="s">
        <v>52</v>
      </c>
      <c r="F370" s="18">
        <v>20140.47</v>
      </c>
    </row>
    <row r="371" spans="1:6" ht="25.5">
      <c r="A371" s="29" t="s">
        <v>539</v>
      </c>
      <c r="B371" s="22" t="s">
        <v>538</v>
      </c>
      <c r="C371" s="22" t="s">
        <v>40</v>
      </c>
      <c r="D371" s="22" t="s">
        <v>32</v>
      </c>
      <c r="E371" s="22" t="s">
        <v>52</v>
      </c>
      <c r="F371" s="18">
        <v>387481.81</v>
      </c>
    </row>
    <row r="372" spans="1:6" ht="30.75" customHeight="1">
      <c r="A372" s="28" t="s">
        <v>121</v>
      </c>
      <c r="B372" s="22" t="s">
        <v>528</v>
      </c>
      <c r="C372" s="22"/>
      <c r="D372" s="22"/>
      <c r="E372" s="22"/>
      <c r="F372" s="18">
        <f>F373</f>
        <v>528000</v>
      </c>
    </row>
    <row r="373" spans="1:6" ht="44.25" customHeight="1">
      <c r="A373" s="29" t="s">
        <v>530</v>
      </c>
      <c r="B373" s="22" t="s">
        <v>529</v>
      </c>
      <c r="C373" s="22" t="s">
        <v>34</v>
      </c>
      <c r="D373" s="22" t="s">
        <v>39</v>
      </c>
      <c r="E373" s="22" t="s">
        <v>52</v>
      </c>
      <c r="F373" s="18">
        <v>528000</v>
      </c>
    </row>
    <row r="374" spans="1:6" ht="12.75">
      <c r="A374" s="29" t="s">
        <v>49</v>
      </c>
      <c r="B374" s="22" t="s">
        <v>69</v>
      </c>
      <c r="C374" s="22"/>
      <c r="D374" s="22"/>
      <c r="E374" s="22"/>
      <c r="F374" s="15">
        <f>SUM(F375:F377)</f>
        <v>292327</v>
      </c>
    </row>
    <row r="375" spans="1:6" ht="38.25">
      <c r="A375" s="28" t="s">
        <v>66</v>
      </c>
      <c r="B375" s="22" t="s">
        <v>70</v>
      </c>
      <c r="C375" s="22" t="s">
        <v>31</v>
      </c>
      <c r="D375" s="22" t="s">
        <v>32</v>
      </c>
      <c r="E375" s="22" t="s">
        <v>50</v>
      </c>
      <c r="F375" s="15">
        <v>1500</v>
      </c>
    </row>
    <row r="376" spans="1:6" ht="38.25">
      <c r="A376" s="28" t="s">
        <v>66</v>
      </c>
      <c r="B376" s="22" t="s">
        <v>70</v>
      </c>
      <c r="C376" s="22" t="s">
        <v>31</v>
      </c>
      <c r="D376" s="22" t="s">
        <v>34</v>
      </c>
      <c r="E376" s="22" t="s">
        <v>50</v>
      </c>
      <c r="F376" s="15">
        <v>290327</v>
      </c>
    </row>
    <row r="377" spans="1:6" ht="38.25">
      <c r="A377" s="28" t="s">
        <v>66</v>
      </c>
      <c r="B377" s="22" t="s">
        <v>70</v>
      </c>
      <c r="C377" s="22" t="s">
        <v>31</v>
      </c>
      <c r="D377" s="22" t="s">
        <v>35</v>
      </c>
      <c r="E377" s="22" t="s">
        <v>50</v>
      </c>
      <c r="F377" s="15">
        <v>500</v>
      </c>
    </row>
  </sheetData>
  <mergeCells count="2">
    <mergeCell ref="B1:F1"/>
    <mergeCell ref="A2:F2"/>
  </mergeCells>
  <printOptions/>
  <pageMargins left="0.8267716535433072" right="0.1968503937007874" top="0.3937007874015748" bottom="0.1968503937007874" header="0.1968503937007874" footer="0.11811023622047245"/>
  <pageSetup fitToHeight="14" fitToWidth="1" horizontalDpi="600" verticalDpi="600" orientation="portrait" paperSize="9" scale="75" r:id="rId2"/>
  <headerFooter alignWithMargins="0">
    <oddHeader>&amp;C&amp;P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2018-10-17T11:09:11Z</cp:lastPrinted>
  <dcterms:created xsi:type="dcterms:W3CDTF">2008-10-16T09:22:50Z</dcterms:created>
  <dcterms:modified xsi:type="dcterms:W3CDTF">2018-11-07T10:41:31Z</dcterms:modified>
  <cp:category/>
  <cp:version/>
  <cp:contentType/>
  <cp:contentStatus/>
</cp:coreProperties>
</file>